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KirbyDusel\Box\Marin Clean Energy\PSDP Reports\2025 PSD Reporting\"/>
    </mc:Choice>
  </mc:AlternateContent>
  <xr:revisionPtr revIDLastSave="0" documentId="13_ncr:1_{584D7FED-8C4C-4601-8AA5-7E7A3FEEB0A9}" xr6:coauthVersionLast="47" xr6:coauthVersionMax="47" xr10:uidLastSave="{00000000-0000-0000-0000-000000000000}"/>
  <bookViews>
    <workbookView xWindow="38280" yWindow="-120" windowWidth="38640" windowHeight="21120" xr2:uid="{4CAB3927-BD1D-4309-8B17-8767E6A0A0F6}"/>
  </bookViews>
  <sheets>
    <sheet name="PSD Intro" sheetId="14" r:id="rId1"/>
    <sheet name="Annual Data" sheetId="4" r:id="rId2"/>
    <sheet name="2025 PCL Data" sheetId="20" r:id="rId3"/>
    <sheet name="Annual Totals" sheetId="18" state="hidden" r:id="rId4"/>
    <sheet name="Plain Text PCL" sheetId="13" state="hidden" r:id="rId5"/>
    <sheet name="Unbundled REC Worksheet" sheetId="10" r:id="rId6"/>
    <sheet name="ACS Procurement Calculator" sheetId="7" r:id="rId7"/>
    <sheet name="Loss Factor Calculator" sheetId="19" r:id="rId8"/>
    <sheet name="GHG Emissions Factors" sheetId="3" r:id="rId9"/>
    <sheet name="Attestation" sheetId="12" r:id="rId10"/>
    <sheet name="Background (to be hidden)" sheetId="9" state="hidden" r:id="rId11"/>
  </sheets>
  <definedNames>
    <definedName name="Annual_Unspecified_Power_EF">#REF!</definedName>
    <definedName name="Annual_Unspecified_Power_Loss_Factor">#REF!</definedName>
    <definedName name="ColumnTitle_2025PCLData">'2025 PCL Data'!$A$2:$H$2</definedName>
    <definedName name="Default_in_state_loss_factor">'Background (to be hidden)'!$E$2</definedName>
    <definedName name="Default_out_of_state_loss_factor">'Background (to be hidden)'!$E$3</definedName>
    <definedName name="OpenNameManagerTaskpane">'2025 PCL Data'!$B$2:$B$2</definedName>
    <definedName name="_xlnm.Print_Area" localSheetId="9">Attestation!$A:$D</definedName>
    <definedName name="_xlnm.Print_Area" localSheetId="0">'PSD Intro'!$A:$B</definedName>
    <definedName name="_xlnm.Print_Area" localSheetId="5">'Unbundled REC Worksheet'!$A:$I</definedName>
    <definedName name="Unspecified_Power_EF">'Background (to be hidden)'!$F$2</definedName>
    <definedName name="Unspecified_Power_Loss_Factor">'Background (to be hidden)'!#REF!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20" i="4" l="1"/>
  <c r="S25" i="4"/>
  <c r="H207" i="4" l="1"/>
  <c r="H219" i="4" l="1"/>
  <c r="H218" i="4"/>
  <c r="H217" i="4"/>
  <c r="H216" i="4"/>
  <c r="H215" i="4"/>
  <c r="H214" i="4"/>
  <c r="H213" i="4"/>
  <c r="H212" i="4"/>
  <c r="H211" i="4"/>
  <c r="H210" i="4"/>
  <c r="H209" i="4"/>
  <c r="H208" i="4"/>
  <c r="H206" i="4"/>
  <c r="H205" i="4"/>
  <c r="H204" i="4"/>
  <c r="H203" i="4"/>
  <c r="H202" i="4"/>
  <c r="H201" i="4"/>
  <c r="H200" i="4"/>
  <c r="H199" i="4"/>
  <c r="H198" i="4"/>
  <c r="H197" i="4"/>
  <c r="H196" i="4"/>
  <c r="H194" i="4"/>
  <c r="H193" i="4"/>
  <c r="H237" i="4"/>
  <c r="H195" i="4"/>
  <c r="H186" i="4"/>
  <c r="G233" i="4"/>
  <c r="H231" i="4" l="1"/>
  <c r="H230" i="4"/>
  <c r="H229" i="4"/>
  <c r="H189" i="4" l="1"/>
  <c r="G28" i="4" l="1"/>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A4" i="12"/>
  <c r="B15" i="19" l="1"/>
  <c r="B18" i="19"/>
  <c r="B19" i="19" s="1"/>
  <c r="B8" i="19" l="1"/>
  <c r="B21" i="19"/>
  <c r="B25" i="19"/>
  <c r="B26" i="19"/>
  <c r="B22" i="19"/>
  <c r="B23" i="19" l="1"/>
  <c r="B27" i="19"/>
  <c r="A5" i="10"/>
  <c r="Z29" i="4"/>
  <c r="Z30" i="4"/>
  <c r="Z3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Z176" i="4"/>
  <c r="Z177" i="4"/>
  <c r="Z178" i="4"/>
  <c r="Z179" i="4"/>
  <c r="Z180" i="4"/>
  <c r="Z181" i="4"/>
  <c r="Z182" i="4"/>
  <c r="Z183" i="4"/>
  <c r="Z184" i="4"/>
  <c r="Z185" i="4"/>
  <c r="Z186" i="4"/>
  <c r="Z187" i="4"/>
  <c r="Z188" i="4"/>
  <c r="Z189" i="4"/>
  <c r="Z190" i="4"/>
  <c r="Z191" i="4"/>
  <c r="Z192" i="4"/>
  <c r="Z193" i="4"/>
  <c r="Z194" i="4"/>
  <c r="Z195" i="4"/>
  <c r="Z196" i="4"/>
  <c r="Z197" i="4"/>
  <c r="Z198" i="4"/>
  <c r="Z199" i="4"/>
  <c r="Z200" i="4"/>
  <c r="Z201" i="4"/>
  <c r="Z202" i="4"/>
  <c r="Z203" i="4"/>
  <c r="Z204" i="4"/>
  <c r="Z205" i="4"/>
  <c r="Z206" i="4"/>
  <c r="Z207" i="4"/>
  <c r="Z208" i="4"/>
  <c r="Z209" i="4"/>
  <c r="Z210" i="4"/>
  <c r="Z211" i="4"/>
  <c r="Z212" i="4"/>
  <c r="Z213" i="4"/>
  <c r="Z214" i="4"/>
  <c r="Z215" i="4"/>
  <c r="Z216" i="4"/>
  <c r="Z217" i="4"/>
  <c r="Z218" i="4"/>
  <c r="Z219" i="4"/>
  <c r="Z220" i="4"/>
  <c r="Z221" i="4"/>
  <c r="Z222" i="4"/>
  <c r="Z223" i="4"/>
  <c r="Z224" i="4"/>
  <c r="Z225" i="4"/>
  <c r="Z226" i="4"/>
  <c r="Z227" i="4"/>
  <c r="Z228" i="4"/>
  <c r="Z229" i="4"/>
  <c r="Z230" i="4"/>
  <c r="Z231" i="4"/>
  <c r="Z232" i="4"/>
  <c r="Z233" i="4"/>
  <c r="Z234" i="4"/>
  <c r="Z235" i="4"/>
  <c r="Z236" i="4"/>
  <c r="Z237" i="4"/>
  <c r="Z238" i="4"/>
  <c r="Z239" i="4"/>
  <c r="Z240" i="4"/>
  <c r="Z241" i="4"/>
  <c r="Z242" i="4"/>
  <c r="Z243" i="4"/>
  <c r="Z244" i="4"/>
  <c r="Z245" i="4"/>
  <c r="Z246" i="4"/>
  <c r="Z247" i="4"/>
  <c r="Z248" i="4"/>
  <c r="Z249" i="4"/>
  <c r="Z250" i="4"/>
  <c r="Z251" i="4"/>
  <c r="Z252" i="4"/>
  <c r="Z253" i="4"/>
  <c r="Z254" i="4"/>
  <c r="Z255" i="4"/>
  <c r="Z256" i="4"/>
  <c r="Z257" i="4"/>
  <c r="Z258" i="4"/>
  <c r="Z259" i="4"/>
  <c r="Z260" i="4"/>
  <c r="Z261" i="4"/>
  <c r="Z262" i="4"/>
  <c r="Z263" i="4"/>
  <c r="Z264" i="4"/>
  <c r="Z265" i="4"/>
  <c r="Z266" i="4"/>
  <c r="Z267" i="4"/>
  <c r="Z268" i="4"/>
  <c r="Z269" i="4"/>
  <c r="Z270" i="4"/>
  <c r="Z271" i="4"/>
  <c r="Z272" i="4"/>
  <c r="Z273" i="4"/>
  <c r="Z274" i="4"/>
  <c r="Z275" i="4"/>
  <c r="Z276" i="4"/>
  <c r="Z277" i="4"/>
  <c r="Z278" i="4"/>
  <c r="Z279" i="4"/>
  <c r="Z280" i="4"/>
  <c r="Z281" i="4"/>
  <c r="Z282" i="4"/>
  <c r="Z283" i="4"/>
  <c r="Z284" i="4"/>
  <c r="Z285" i="4"/>
  <c r="Z286" i="4"/>
  <c r="Z287" i="4"/>
  <c r="Z288" i="4"/>
  <c r="Z289" i="4"/>
  <c r="Z290" i="4"/>
  <c r="Z291" i="4"/>
  <c r="Z292" i="4"/>
  <c r="Z293" i="4"/>
  <c r="Z294" i="4"/>
  <c r="Z295" i="4"/>
  <c r="Z296" i="4"/>
  <c r="Z297" i="4"/>
  <c r="Z298" i="4"/>
  <c r="Z299" i="4"/>
  <c r="Z300" i="4"/>
  <c r="Z301" i="4"/>
  <c r="Z302" i="4"/>
  <c r="Z303" i="4"/>
  <c r="Z304" i="4"/>
  <c r="Z305" i="4"/>
  <c r="Z306" i="4"/>
  <c r="Z307" i="4"/>
  <c r="Z308" i="4"/>
  <c r="Z309" i="4"/>
  <c r="Z310" i="4"/>
  <c r="Z311" i="4"/>
  <c r="Z312" i="4"/>
  <c r="Z313" i="4"/>
  <c r="Z314" i="4"/>
  <c r="Z315" i="4"/>
  <c r="Z316" i="4"/>
  <c r="Z317" i="4"/>
  <c r="Z318" i="4"/>
  <c r="Z319" i="4"/>
  <c r="Z320" i="4"/>
  <c r="Z321" i="4"/>
  <c r="Z322" i="4"/>
  <c r="Z323" i="4"/>
  <c r="Z324" i="4"/>
  <c r="Z325" i="4"/>
  <c r="Z326" i="4"/>
  <c r="Z327" i="4"/>
  <c r="Z328" i="4"/>
  <c r="Z329" i="4"/>
  <c r="Z330" i="4"/>
  <c r="Z331" i="4"/>
  <c r="Z332" i="4"/>
  <c r="Z333" i="4"/>
  <c r="Z334" i="4"/>
  <c r="Z335" i="4"/>
  <c r="Z336" i="4"/>
  <c r="Z337" i="4"/>
  <c r="Z338" i="4"/>
  <c r="Z339" i="4"/>
  <c r="Z340" i="4"/>
  <c r="Z341" i="4"/>
  <c r="Z342" i="4"/>
  <c r="Z343" i="4"/>
  <c r="Z344" i="4"/>
  <c r="Z345" i="4"/>
  <c r="Z346" i="4"/>
  <c r="Z347" i="4"/>
  <c r="Z348" i="4"/>
  <c r="Z349" i="4"/>
  <c r="Z350" i="4"/>
  <c r="Z351" i="4"/>
  <c r="Z352" i="4"/>
  <c r="Z353" i="4"/>
  <c r="Z354" i="4"/>
  <c r="Z355" i="4"/>
  <c r="Z356" i="4"/>
  <c r="Z357" i="4"/>
  <c r="Z358" i="4"/>
  <c r="Z359" i="4"/>
  <c r="Z360" i="4"/>
  <c r="Z361" i="4"/>
  <c r="Z362" i="4"/>
  <c r="Z363" i="4"/>
  <c r="Z364" i="4"/>
  <c r="Z365" i="4"/>
  <c r="Z366" i="4"/>
  <c r="Z367" i="4"/>
  <c r="Z368" i="4"/>
  <c r="Z369" i="4"/>
  <c r="Z370" i="4"/>
  <c r="Z371" i="4"/>
  <c r="Z372" i="4"/>
  <c r="Z373" i="4"/>
  <c r="Z374" i="4"/>
  <c r="Z375" i="4"/>
  <c r="Z376" i="4"/>
  <c r="Z377" i="4"/>
  <c r="Z378" i="4"/>
  <c r="Z379" i="4"/>
  <c r="Z380" i="4"/>
  <c r="Z381" i="4"/>
  <c r="Z382" i="4"/>
  <c r="Z383" i="4"/>
  <c r="Z384" i="4"/>
  <c r="Z385" i="4"/>
  <c r="Z386" i="4"/>
  <c r="Z387" i="4"/>
  <c r="Z388" i="4"/>
  <c r="Z389" i="4"/>
  <c r="Z390" i="4"/>
  <c r="Z391" i="4"/>
  <c r="Z392" i="4"/>
  <c r="Z393" i="4"/>
  <c r="Z394" i="4"/>
  <c r="Z395" i="4"/>
  <c r="Z396" i="4"/>
  <c r="Z397" i="4"/>
  <c r="Z398" i="4"/>
  <c r="Z399" i="4"/>
  <c r="Z400" i="4"/>
  <c r="Z401" i="4"/>
  <c r="Z402" i="4"/>
  <c r="Z403" i="4"/>
  <c r="Z404" i="4"/>
  <c r="Z405" i="4"/>
  <c r="Z406" i="4"/>
  <c r="Z407" i="4"/>
  <c r="Z408" i="4"/>
  <c r="Z409" i="4"/>
  <c r="Z410" i="4"/>
  <c r="Z411" i="4"/>
  <c r="Z412" i="4"/>
  <c r="Z413" i="4"/>
  <c r="Z414" i="4"/>
  <c r="Z415" i="4"/>
  <c r="Z416" i="4"/>
  <c r="Z417" i="4"/>
  <c r="Z418" i="4"/>
  <c r="Z419" i="4"/>
  <c r="Z420" i="4"/>
  <c r="Z421" i="4"/>
  <c r="Z422" i="4"/>
  <c r="Z423" i="4"/>
  <c r="Z424" i="4"/>
  <c r="Z425" i="4"/>
  <c r="Z426" i="4"/>
  <c r="Z427" i="4"/>
  <c r="Z428" i="4"/>
  <c r="Z429" i="4"/>
  <c r="Z430" i="4"/>
  <c r="Z431" i="4"/>
  <c r="Z432" i="4"/>
  <c r="Z433" i="4"/>
  <c r="Z434" i="4"/>
  <c r="Z435" i="4"/>
  <c r="Z436" i="4"/>
  <c r="Z437" i="4"/>
  <c r="Z438" i="4"/>
  <c r="Z439" i="4"/>
  <c r="Z440" i="4"/>
  <c r="Z441" i="4"/>
  <c r="Z442" i="4"/>
  <c r="Z443" i="4"/>
  <c r="Z444" i="4"/>
  <c r="Z445" i="4"/>
  <c r="Z446" i="4"/>
  <c r="Z447" i="4"/>
  <c r="Z448" i="4"/>
  <c r="Z449" i="4"/>
  <c r="Z450" i="4"/>
  <c r="Z451" i="4"/>
  <c r="Z452" i="4"/>
  <c r="Z453" i="4"/>
  <c r="Z454" i="4"/>
  <c r="Z455" i="4"/>
  <c r="Z456" i="4"/>
  <c r="Z457" i="4"/>
  <c r="Z458" i="4"/>
  <c r="Z459" i="4"/>
  <c r="Z460" i="4"/>
  <c r="Z461" i="4"/>
  <c r="Z462" i="4"/>
  <c r="Z463" i="4"/>
  <c r="Z464" i="4"/>
  <c r="Z465" i="4"/>
  <c r="Z466" i="4"/>
  <c r="Z467" i="4"/>
  <c r="Z468" i="4"/>
  <c r="Z469" i="4"/>
  <c r="Z470" i="4"/>
  <c r="Z471" i="4"/>
  <c r="Z472" i="4"/>
  <c r="Z473" i="4"/>
  <c r="Z474" i="4"/>
  <c r="Z475" i="4"/>
  <c r="Z476" i="4"/>
  <c r="Z477" i="4"/>
  <c r="Z478" i="4"/>
  <c r="Z479" i="4"/>
  <c r="Z480" i="4"/>
  <c r="Z481" i="4"/>
  <c r="Z482" i="4"/>
  <c r="Z483" i="4"/>
  <c r="Z484" i="4"/>
  <c r="Z485" i="4"/>
  <c r="Z486" i="4"/>
  <c r="Z487" i="4"/>
  <c r="Z488" i="4"/>
  <c r="Z489" i="4"/>
  <c r="Z490" i="4"/>
  <c r="Z491" i="4"/>
  <c r="Z492" i="4"/>
  <c r="Z493" i="4"/>
  <c r="Z494" i="4"/>
  <c r="Z495" i="4"/>
  <c r="Z496" i="4"/>
  <c r="Z497" i="4"/>
  <c r="Z498" i="4"/>
  <c r="Z499" i="4"/>
  <c r="Z500" i="4"/>
  <c r="Z501" i="4"/>
  <c r="Z502" i="4"/>
  <c r="Z503" i="4"/>
  <c r="Z504" i="4"/>
  <c r="Z505" i="4"/>
  <c r="Z506" i="4"/>
  <c r="Z507" i="4"/>
  <c r="Z508" i="4"/>
  <c r="Z509" i="4"/>
  <c r="Z510" i="4"/>
  <c r="Z511" i="4"/>
  <c r="Z512" i="4"/>
  <c r="Z513" i="4"/>
  <c r="Z514" i="4"/>
  <c r="Z515" i="4"/>
  <c r="Z516" i="4"/>
  <c r="Z517" i="4"/>
  <c r="Z518" i="4"/>
  <c r="Z519" i="4"/>
  <c r="Z520" i="4"/>
  <c r="Z521" i="4"/>
  <c r="Z522" i="4"/>
  <c r="Z523" i="4"/>
  <c r="Z524" i="4"/>
  <c r="Z525" i="4"/>
  <c r="Z526" i="4"/>
  <c r="Z527" i="4"/>
  <c r="Z528" i="4"/>
  <c r="Z529" i="4"/>
  <c r="Z530" i="4"/>
  <c r="Z531" i="4"/>
  <c r="Z532" i="4"/>
  <c r="Z533" i="4"/>
  <c r="Z534" i="4"/>
  <c r="Z535" i="4"/>
  <c r="Z536" i="4"/>
  <c r="Z537" i="4"/>
  <c r="Z538" i="4"/>
  <c r="Z539" i="4"/>
  <c r="Z540" i="4"/>
  <c r="Z541" i="4"/>
  <c r="Z542" i="4"/>
  <c r="Z543" i="4"/>
  <c r="Z544" i="4"/>
  <c r="Z545" i="4"/>
  <c r="Z546" i="4"/>
  <c r="Z547" i="4"/>
  <c r="Z548" i="4"/>
  <c r="Z549" i="4"/>
  <c r="Z550" i="4"/>
  <c r="Z551" i="4"/>
  <c r="Z552" i="4"/>
  <c r="Z553" i="4"/>
  <c r="Z554" i="4"/>
  <c r="Z555" i="4"/>
  <c r="Z556" i="4"/>
  <c r="Z557" i="4"/>
  <c r="Z558" i="4"/>
  <c r="Z559" i="4"/>
  <c r="Z560" i="4"/>
  <c r="Z561" i="4"/>
  <c r="Z562" i="4"/>
  <c r="Z563" i="4"/>
  <c r="Z564" i="4"/>
  <c r="Z565" i="4"/>
  <c r="Z566" i="4"/>
  <c r="Z567" i="4"/>
  <c r="Z568" i="4"/>
  <c r="Z569" i="4"/>
  <c r="Z570" i="4"/>
  <c r="Z571" i="4"/>
  <c r="Z572" i="4"/>
  <c r="Z573" i="4"/>
  <c r="Z574" i="4"/>
  <c r="Z575" i="4"/>
  <c r="Z576" i="4"/>
  <c r="Z577" i="4"/>
  <c r="Z578" i="4"/>
  <c r="Z579" i="4"/>
  <c r="Z580" i="4"/>
  <c r="Z581" i="4"/>
  <c r="Z582" i="4"/>
  <c r="Z583" i="4"/>
  <c r="Z584" i="4"/>
  <c r="Z585" i="4"/>
  <c r="Z586" i="4"/>
  <c r="Z587" i="4"/>
  <c r="Z588" i="4"/>
  <c r="Z589" i="4"/>
  <c r="Z590" i="4"/>
  <c r="Z591" i="4"/>
  <c r="Z592" i="4"/>
  <c r="Z593" i="4"/>
  <c r="Z594" i="4"/>
  <c r="Z595" i="4"/>
  <c r="Z596" i="4"/>
  <c r="Z597" i="4"/>
  <c r="Z598" i="4"/>
  <c r="Z599" i="4"/>
  <c r="Z600" i="4"/>
  <c r="Z601" i="4"/>
  <c r="J28" i="4"/>
  <c r="S28" i="4" s="1"/>
  <c r="C16" i="7"/>
  <c r="B3" i="20"/>
  <c r="C3" i="20"/>
  <c r="D3" i="20"/>
  <c r="E3" i="20"/>
  <c r="F3" i="20"/>
  <c r="G3" i="20"/>
  <c r="G2" i="20"/>
  <c r="F2" i="20"/>
  <c r="E2" i="20"/>
  <c r="D2" i="20"/>
  <c r="C2" i="20"/>
  <c r="B2" i="20"/>
  <c r="AJ27" i="4"/>
  <c r="AI27" i="4"/>
  <c r="AH27" i="4"/>
  <c r="AG27" i="4"/>
  <c r="AF27" i="4"/>
  <c r="AE27" i="4" l="1"/>
  <c r="C21" i="7"/>
  <c r="C22" i="7"/>
  <c r="C23" i="7"/>
  <c r="C24" i="7"/>
  <c r="C25" i="7"/>
  <c r="C26" i="7"/>
  <c r="C27" i="7"/>
  <c r="C28" i="7"/>
  <c r="C29" i="7"/>
  <c r="C30" i="7"/>
  <c r="C31" i="7"/>
  <c r="C7" i="7"/>
  <c r="C8" i="7"/>
  <c r="C9" i="7"/>
  <c r="C10" i="7"/>
  <c r="C11" i="7"/>
  <c r="C12" i="7"/>
  <c r="C13" i="7"/>
  <c r="C14" i="7"/>
  <c r="C15" i="7"/>
  <c r="C17" i="7"/>
  <c r="A10" i="10" l="1"/>
  <c r="B10" i="10" s="1"/>
  <c r="A9" i="10"/>
  <c r="B9" i="10" s="1"/>
  <c r="A8" i="10"/>
  <c r="B8" i="10" s="1"/>
  <c r="A7" i="10"/>
  <c r="B7" i="10" s="1"/>
  <c r="A6" i="10"/>
  <c r="B6" i="10" s="1"/>
  <c r="B5" i="10"/>
  <c r="B20" i="20" l="1"/>
  <c r="C20" i="20"/>
  <c r="D20" i="20"/>
  <c r="E20" i="20"/>
  <c r="F20" i="20"/>
  <c r="G20" i="20"/>
  <c r="Y28" i="4"/>
  <c r="Q17" i="4"/>
  <c r="R17" i="4"/>
  <c r="T17" i="4"/>
  <c r="U17" i="4"/>
  <c r="V17" i="4"/>
  <c r="W17" i="4"/>
  <c r="Z28" i="4" l="1"/>
  <c r="AD601" i="4"/>
  <c r="AD600" i="4"/>
  <c r="G600" i="4"/>
  <c r="G601" i="4"/>
  <c r="J600" i="4"/>
  <c r="J601" i="4"/>
  <c r="N600" i="4"/>
  <c r="N601" i="4"/>
  <c r="P600" i="4"/>
  <c r="P601" i="4"/>
  <c r="W26" i="4"/>
  <c r="V26" i="4"/>
  <c r="U26" i="4"/>
  <c r="T26" i="4"/>
  <c r="R26" i="4"/>
  <c r="Q26" i="4"/>
  <c r="W16" i="4"/>
  <c r="W15" i="4"/>
  <c r="W14" i="4"/>
  <c r="W13" i="4"/>
  <c r="W12" i="4"/>
  <c r="W11" i="4"/>
  <c r="W10" i="4"/>
  <c r="W9" i="4"/>
  <c r="W8" i="4"/>
  <c r="W7" i="4"/>
  <c r="W6" i="4"/>
  <c r="W5" i="4"/>
  <c r="V16" i="4"/>
  <c r="V15" i="4"/>
  <c r="V14" i="4"/>
  <c r="V13" i="4"/>
  <c r="V12" i="4"/>
  <c r="V11" i="4"/>
  <c r="V10" i="4"/>
  <c r="V9" i="4"/>
  <c r="V8" i="4"/>
  <c r="V7" i="4"/>
  <c r="V6" i="4"/>
  <c r="V5" i="4"/>
  <c r="U16" i="4"/>
  <c r="U15" i="4"/>
  <c r="U14" i="4"/>
  <c r="U13" i="4"/>
  <c r="U12" i="4"/>
  <c r="U11" i="4"/>
  <c r="U10" i="4"/>
  <c r="U9" i="4"/>
  <c r="U8" i="4"/>
  <c r="U7" i="4"/>
  <c r="U6" i="4"/>
  <c r="U5" i="4"/>
  <c r="T16" i="4"/>
  <c r="T15" i="4"/>
  <c r="T14" i="4"/>
  <c r="T13" i="4"/>
  <c r="T12" i="4"/>
  <c r="T11" i="4"/>
  <c r="T10" i="4"/>
  <c r="T9" i="4"/>
  <c r="T8" i="4"/>
  <c r="T7" i="4"/>
  <c r="T6" i="4"/>
  <c r="T5" i="4"/>
  <c r="S15" i="4"/>
  <c r="S14" i="4"/>
  <c r="S12" i="4"/>
  <c r="R16" i="4"/>
  <c r="R15" i="4"/>
  <c r="R14" i="4"/>
  <c r="R13" i="4"/>
  <c r="R12" i="4"/>
  <c r="R11" i="4"/>
  <c r="R10" i="4"/>
  <c r="R9" i="4"/>
  <c r="R8" i="4"/>
  <c r="R7" i="4"/>
  <c r="R6" i="4"/>
  <c r="R5" i="4"/>
  <c r="Q15" i="4"/>
  <c r="Q16" i="4"/>
  <c r="Q14" i="4"/>
  <c r="Q13" i="4"/>
  <c r="Q12" i="4"/>
  <c r="Q11" i="4"/>
  <c r="Q10" i="4"/>
  <c r="Q9" i="4"/>
  <c r="Q8" i="4"/>
  <c r="Q7" i="4"/>
  <c r="Q6" i="4"/>
  <c r="Q5" i="4"/>
  <c r="W4" i="4"/>
  <c r="V4" i="4"/>
  <c r="U4" i="4"/>
  <c r="T4" i="4"/>
  <c r="R4" i="4"/>
  <c r="Q4" i="4"/>
  <c r="W3" i="4"/>
  <c r="V3" i="4"/>
  <c r="U3" i="4"/>
  <c r="T3" i="4"/>
  <c r="S3" i="4"/>
  <c r="R3" i="4"/>
  <c r="Q3" i="4"/>
  <c r="V2" i="4"/>
  <c r="U2" i="4"/>
  <c r="T2" i="4"/>
  <c r="S2" i="4"/>
  <c r="R2" i="4"/>
  <c r="Q2" i="4"/>
  <c r="N29" i="4"/>
  <c r="N28" i="4"/>
  <c r="P599" i="4"/>
  <c r="P598" i="4"/>
  <c r="AL598" i="4" s="1"/>
  <c r="P597" i="4"/>
  <c r="AL597" i="4" s="1"/>
  <c r="P596" i="4"/>
  <c r="AL596" i="4" s="1"/>
  <c r="P595" i="4"/>
  <c r="AL595" i="4" s="1"/>
  <c r="P594" i="4"/>
  <c r="AL594" i="4" s="1"/>
  <c r="P593" i="4"/>
  <c r="AL593" i="4" s="1"/>
  <c r="P592" i="4"/>
  <c r="AL592" i="4" s="1"/>
  <c r="P591" i="4"/>
  <c r="AL591" i="4" s="1"/>
  <c r="P590" i="4"/>
  <c r="AL590" i="4" s="1"/>
  <c r="P589" i="4"/>
  <c r="AL589" i="4" s="1"/>
  <c r="P588" i="4"/>
  <c r="AL588" i="4" s="1"/>
  <c r="P587" i="4"/>
  <c r="AL587" i="4" s="1"/>
  <c r="P586" i="4"/>
  <c r="AL586" i="4" s="1"/>
  <c r="P585" i="4"/>
  <c r="AL585" i="4" s="1"/>
  <c r="P584" i="4"/>
  <c r="AL584" i="4" s="1"/>
  <c r="P583" i="4"/>
  <c r="AL583" i="4" s="1"/>
  <c r="P582" i="4"/>
  <c r="AL582" i="4" s="1"/>
  <c r="P581" i="4"/>
  <c r="AL581" i="4" s="1"/>
  <c r="P580" i="4"/>
  <c r="AL580" i="4" s="1"/>
  <c r="P579" i="4"/>
  <c r="AL579" i="4" s="1"/>
  <c r="P578" i="4"/>
  <c r="AL578" i="4" s="1"/>
  <c r="P577" i="4"/>
  <c r="AL577" i="4" s="1"/>
  <c r="P576" i="4"/>
  <c r="AL576" i="4" s="1"/>
  <c r="P575" i="4"/>
  <c r="AL575" i="4" s="1"/>
  <c r="P574" i="4"/>
  <c r="AL574" i="4" s="1"/>
  <c r="P573" i="4"/>
  <c r="AL573" i="4" s="1"/>
  <c r="P572" i="4"/>
  <c r="AL572" i="4" s="1"/>
  <c r="P571" i="4"/>
  <c r="AL571" i="4" s="1"/>
  <c r="P570" i="4"/>
  <c r="AL570" i="4" s="1"/>
  <c r="P569" i="4"/>
  <c r="AL569" i="4" s="1"/>
  <c r="P568" i="4"/>
  <c r="AL568" i="4" s="1"/>
  <c r="P567" i="4"/>
  <c r="AL567" i="4" s="1"/>
  <c r="P566" i="4"/>
  <c r="AL566" i="4" s="1"/>
  <c r="P565" i="4"/>
  <c r="AL565" i="4" s="1"/>
  <c r="P564" i="4"/>
  <c r="AL564" i="4" s="1"/>
  <c r="P563" i="4"/>
  <c r="AL563" i="4" s="1"/>
  <c r="P562" i="4"/>
  <c r="AL562" i="4" s="1"/>
  <c r="P561" i="4"/>
  <c r="AL561" i="4" s="1"/>
  <c r="P560" i="4"/>
  <c r="AL560" i="4" s="1"/>
  <c r="P559" i="4"/>
  <c r="AL559" i="4" s="1"/>
  <c r="P558" i="4"/>
  <c r="AL558" i="4" s="1"/>
  <c r="P557" i="4"/>
  <c r="AL557" i="4" s="1"/>
  <c r="P556" i="4"/>
  <c r="AL556" i="4" s="1"/>
  <c r="P555" i="4"/>
  <c r="AL555" i="4" s="1"/>
  <c r="P554" i="4"/>
  <c r="AL554" i="4" s="1"/>
  <c r="P553" i="4"/>
  <c r="AL553" i="4" s="1"/>
  <c r="P552" i="4"/>
  <c r="AL552" i="4" s="1"/>
  <c r="P551" i="4"/>
  <c r="AL551" i="4" s="1"/>
  <c r="P550" i="4"/>
  <c r="AL550" i="4" s="1"/>
  <c r="P549" i="4"/>
  <c r="AL549" i="4" s="1"/>
  <c r="P548" i="4"/>
  <c r="AL548" i="4" s="1"/>
  <c r="P547" i="4"/>
  <c r="AL547" i="4" s="1"/>
  <c r="P546" i="4"/>
  <c r="AL546" i="4" s="1"/>
  <c r="P545" i="4"/>
  <c r="AL545" i="4" s="1"/>
  <c r="P544" i="4"/>
  <c r="AL544" i="4" s="1"/>
  <c r="P543" i="4"/>
  <c r="AL543" i="4" s="1"/>
  <c r="P542" i="4"/>
  <c r="AL542" i="4" s="1"/>
  <c r="P541" i="4"/>
  <c r="AL541" i="4" s="1"/>
  <c r="P540" i="4"/>
  <c r="AL540" i="4" s="1"/>
  <c r="P539" i="4"/>
  <c r="AL539" i="4" s="1"/>
  <c r="P538" i="4"/>
  <c r="AL538" i="4" s="1"/>
  <c r="P537" i="4"/>
  <c r="AL537" i="4" s="1"/>
  <c r="P536" i="4"/>
  <c r="AL536" i="4" s="1"/>
  <c r="P535" i="4"/>
  <c r="AL535" i="4" s="1"/>
  <c r="P534" i="4"/>
  <c r="AL534" i="4" s="1"/>
  <c r="P533" i="4"/>
  <c r="AL533" i="4" s="1"/>
  <c r="P532" i="4"/>
  <c r="AL532" i="4" s="1"/>
  <c r="P531" i="4"/>
  <c r="AL531" i="4" s="1"/>
  <c r="P530" i="4"/>
  <c r="AL530" i="4" s="1"/>
  <c r="P529" i="4"/>
  <c r="AL529" i="4" s="1"/>
  <c r="P528" i="4"/>
  <c r="AL528" i="4" s="1"/>
  <c r="P527" i="4"/>
  <c r="AL527" i="4" s="1"/>
  <c r="P526" i="4"/>
  <c r="AL526" i="4" s="1"/>
  <c r="P525" i="4"/>
  <c r="AL525" i="4" s="1"/>
  <c r="P524" i="4"/>
  <c r="AL524" i="4" s="1"/>
  <c r="P523" i="4"/>
  <c r="AL523" i="4" s="1"/>
  <c r="P522" i="4"/>
  <c r="AL522" i="4" s="1"/>
  <c r="P521" i="4"/>
  <c r="AL521" i="4" s="1"/>
  <c r="P520" i="4"/>
  <c r="AL520" i="4" s="1"/>
  <c r="P519" i="4"/>
  <c r="AL519" i="4" s="1"/>
  <c r="P518" i="4"/>
  <c r="AL518" i="4" s="1"/>
  <c r="P517" i="4"/>
  <c r="AL517" i="4" s="1"/>
  <c r="P516" i="4"/>
  <c r="AL516" i="4" s="1"/>
  <c r="P515" i="4"/>
  <c r="AL515" i="4" s="1"/>
  <c r="P514" i="4"/>
  <c r="AL514" i="4" s="1"/>
  <c r="P513" i="4"/>
  <c r="AL513" i="4" s="1"/>
  <c r="P512" i="4"/>
  <c r="AL512" i="4" s="1"/>
  <c r="P511" i="4"/>
  <c r="AL511" i="4" s="1"/>
  <c r="P510" i="4"/>
  <c r="AL510" i="4" s="1"/>
  <c r="P509" i="4"/>
  <c r="AL509" i="4" s="1"/>
  <c r="P508" i="4"/>
  <c r="AL508" i="4" s="1"/>
  <c r="P507" i="4"/>
  <c r="AL507" i="4" s="1"/>
  <c r="P506" i="4"/>
  <c r="AL506" i="4" s="1"/>
  <c r="P505" i="4"/>
  <c r="AL505" i="4" s="1"/>
  <c r="P504" i="4"/>
  <c r="AL504" i="4" s="1"/>
  <c r="P503" i="4"/>
  <c r="AL503" i="4" s="1"/>
  <c r="P502" i="4"/>
  <c r="AL502" i="4" s="1"/>
  <c r="P501" i="4"/>
  <c r="AL501" i="4" s="1"/>
  <c r="P500" i="4"/>
  <c r="AL500" i="4" s="1"/>
  <c r="P499" i="4"/>
  <c r="AL499" i="4" s="1"/>
  <c r="P498" i="4"/>
  <c r="AL498" i="4" s="1"/>
  <c r="P497" i="4"/>
  <c r="AL497" i="4" s="1"/>
  <c r="P496" i="4"/>
  <c r="AL496" i="4" s="1"/>
  <c r="P495" i="4"/>
  <c r="AL495" i="4" s="1"/>
  <c r="P494" i="4"/>
  <c r="AL494" i="4" s="1"/>
  <c r="P493" i="4"/>
  <c r="AL493" i="4" s="1"/>
  <c r="P492" i="4"/>
  <c r="AL492" i="4" s="1"/>
  <c r="P491" i="4"/>
  <c r="AL491" i="4" s="1"/>
  <c r="P490" i="4"/>
  <c r="AL490" i="4" s="1"/>
  <c r="P489" i="4"/>
  <c r="AL489" i="4" s="1"/>
  <c r="P488" i="4"/>
  <c r="AL488" i="4" s="1"/>
  <c r="P487" i="4"/>
  <c r="AL487" i="4" s="1"/>
  <c r="P486" i="4"/>
  <c r="AL486" i="4" s="1"/>
  <c r="P485" i="4"/>
  <c r="AL485" i="4" s="1"/>
  <c r="P484" i="4"/>
  <c r="AL484" i="4" s="1"/>
  <c r="P483" i="4"/>
  <c r="AL483" i="4" s="1"/>
  <c r="P482" i="4"/>
  <c r="AL482" i="4" s="1"/>
  <c r="P481" i="4"/>
  <c r="AL481" i="4" s="1"/>
  <c r="P480" i="4"/>
  <c r="AL480" i="4" s="1"/>
  <c r="P479" i="4"/>
  <c r="AL479" i="4" s="1"/>
  <c r="P478" i="4"/>
  <c r="AL478" i="4" s="1"/>
  <c r="P477" i="4"/>
  <c r="AL477" i="4" s="1"/>
  <c r="P476" i="4"/>
  <c r="AL476" i="4" s="1"/>
  <c r="P475" i="4"/>
  <c r="AL475" i="4" s="1"/>
  <c r="P474" i="4"/>
  <c r="AL474" i="4" s="1"/>
  <c r="P473" i="4"/>
  <c r="AL473" i="4" s="1"/>
  <c r="P472" i="4"/>
  <c r="AL472" i="4" s="1"/>
  <c r="P471" i="4"/>
  <c r="AL471" i="4" s="1"/>
  <c r="P470" i="4"/>
  <c r="AL470" i="4" s="1"/>
  <c r="P469" i="4"/>
  <c r="AL469" i="4" s="1"/>
  <c r="P468" i="4"/>
  <c r="AL468" i="4" s="1"/>
  <c r="P467" i="4"/>
  <c r="AL467" i="4" s="1"/>
  <c r="P466" i="4"/>
  <c r="AL466" i="4" s="1"/>
  <c r="P465" i="4"/>
  <c r="AL465" i="4" s="1"/>
  <c r="P464" i="4"/>
  <c r="AL464" i="4" s="1"/>
  <c r="P463" i="4"/>
  <c r="AL463" i="4" s="1"/>
  <c r="P462" i="4"/>
  <c r="AL462" i="4" s="1"/>
  <c r="P461" i="4"/>
  <c r="AL461" i="4" s="1"/>
  <c r="P460" i="4"/>
  <c r="AL460" i="4" s="1"/>
  <c r="P459" i="4"/>
  <c r="AL459" i="4" s="1"/>
  <c r="P458" i="4"/>
  <c r="AL458" i="4" s="1"/>
  <c r="P457" i="4"/>
  <c r="AL457" i="4" s="1"/>
  <c r="P456" i="4"/>
  <c r="AL456" i="4" s="1"/>
  <c r="P455" i="4"/>
  <c r="AL455" i="4" s="1"/>
  <c r="P454" i="4"/>
  <c r="AL454" i="4" s="1"/>
  <c r="P453" i="4"/>
  <c r="AL453" i="4" s="1"/>
  <c r="P452" i="4"/>
  <c r="AL452" i="4" s="1"/>
  <c r="P451" i="4"/>
  <c r="AL451" i="4" s="1"/>
  <c r="P450" i="4"/>
  <c r="AL450" i="4" s="1"/>
  <c r="P449" i="4"/>
  <c r="AL449" i="4" s="1"/>
  <c r="P448" i="4"/>
  <c r="AL448" i="4" s="1"/>
  <c r="P447" i="4"/>
  <c r="AL447" i="4" s="1"/>
  <c r="P446" i="4"/>
  <c r="AL446" i="4" s="1"/>
  <c r="P445" i="4"/>
  <c r="AL445" i="4" s="1"/>
  <c r="P444" i="4"/>
  <c r="AL444" i="4" s="1"/>
  <c r="P443" i="4"/>
  <c r="AL443" i="4" s="1"/>
  <c r="P442" i="4"/>
  <c r="AL442" i="4" s="1"/>
  <c r="P441" i="4"/>
  <c r="AL441" i="4" s="1"/>
  <c r="P440" i="4"/>
  <c r="AL440" i="4" s="1"/>
  <c r="P439" i="4"/>
  <c r="AL439" i="4" s="1"/>
  <c r="P438" i="4"/>
  <c r="AL438" i="4" s="1"/>
  <c r="P437" i="4"/>
  <c r="AL437" i="4" s="1"/>
  <c r="P436" i="4"/>
  <c r="AL436" i="4" s="1"/>
  <c r="P435" i="4"/>
  <c r="AL435" i="4" s="1"/>
  <c r="P434" i="4"/>
  <c r="AL434" i="4" s="1"/>
  <c r="P433" i="4"/>
  <c r="AL433" i="4" s="1"/>
  <c r="P432" i="4"/>
  <c r="AL432" i="4" s="1"/>
  <c r="P431" i="4"/>
  <c r="AL431" i="4" s="1"/>
  <c r="P430" i="4"/>
  <c r="AL430" i="4" s="1"/>
  <c r="P429" i="4"/>
  <c r="AL429" i="4" s="1"/>
  <c r="P428" i="4"/>
  <c r="AL428" i="4" s="1"/>
  <c r="P427" i="4"/>
  <c r="AL427" i="4" s="1"/>
  <c r="P426" i="4"/>
  <c r="AL426" i="4" s="1"/>
  <c r="P425" i="4"/>
  <c r="AL425" i="4" s="1"/>
  <c r="P424" i="4"/>
  <c r="AL424" i="4" s="1"/>
  <c r="P423" i="4"/>
  <c r="AL423" i="4" s="1"/>
  <c r="P422" i="4"/>
  <c r="AL422" i="4" s="1"/>
  <c r="P421" i="4"/>
  <c r="AL421" i="4" s="1"/>
  <c r="P420" i="4"/>
  <c r="AL420" i="4" s="1"/>
  <c r="P419" i="4"/>
  <c r="AL419" i="4" s="1"/>
  <c r="P418" i="4"/>
  <c r="AL418" i="4" s="1"/>
  <c r="P417" i="4"/>
  <c r="AL417" i="4" s="1"/>
  <c r="P416" i="4"/>
  <c r="AL416" i="4" s="1"/>
  <c r="P415" i="4"/>
  <c r="AL415" i="4" s="1"/>
  <c r="P414" i="4"/>
  <c r="AL414" i="4" s="1"/>
  <c r="P413" i="4"/>
  <c r="AL413" i="4" s="1"/>
  <c r="P412" i="4"/>
  <c r="AL412" i="4" s="1"/>
  <c r="P411" i="4"/>
  <c r="AL411" i="4" s="1"/>
  <c r="P410" i="4"/>
  <c r="AL410" i="4" s="1"/>
  <c r="P409" i="4"/>
  <c r="AL409" i="4" s="1"/>
  <c r="P408" i="4"/>
  <c r="AL408" i="4" s="1"/>
  <c r="P407" i="4"/>
  <c r="AL407" i="4" s="1"/>
  <c r="P406" i="4"/>
  <c r="AL406" i="4" s="1"/>
  <c r="P405" i="4"/>
  <c r="AL405" i="4" s="1"/>
  <c r="P404" i="4"/>
  <c r="AL404" i="4" s="1"/>
  <c r="P403" i="4"/>
  <c r="AL403" i="4" s="1"/>
  <c r="P402" i="4"/>
  <c r="AL402" i="4" s="1"/>
  <c r="P401" i="4"/>
  <c r="AL401" i="4" s="1"/>
  <c r="P400" i="4"/>
  <c r="AL400" i="4" s="1"/>
  <c r="P399" i="4"/>
  <c r="AL399" i="4" s="1"/>
  <c r="P398" i="4"/>
  <c r="AL398" i="4" s="1"/>
  <c r="P397" i="4"/>
  <c r="AL397" i="4" s="1"/>
  <c r="P396" i="4"/>
  <c r="AL396" i="4" s="1"/>
  <c r="P395" i="4"/>
  <c r="AL395" i="4" s="1"/>
  <c r="P394" i="4"/>
  <c r="AL394" i="4" s="1"/>
  <c r="P393" i="4"/>
  <c r="AL393" i="4" s="1"/>
  <c r="P392" i="4"/>
  <c r="AL392" i="4" s="1"/>
  <c r="P391" i="4"/>
  <c r="AL391" i="4" s="1"/>
  <c r="P390" i="4"/>
  <c r="AL390" i="4" s="1"/>
  <c r="P389" i="4"/>
  <c r="AL389" i="4" s="1"/>
  <c r="P388" i="4"/>
  <c r="AL388" i="4" s="1"/>
  <c r="P387" i="4"/>
  <c r="AL387" i="4" s="1"/>
  <c r="P386" i="4"/>
  <c r="AL386" i="4" s="1"/>
  <c r="P385" i="4"/>
  <c r="AL385" i="4" s="1"/>
  <c r="P384" i="4"/>
  <c r="AL384" i="4" s="1"/>
  <c r="P383" i="4"/>
  <c r="AL383" i="4" s="1"/>
  <c r="P382" i="4"/>
  <c r="AL382" i="4" s="1"/>
  <c r="P381" i="4"/>
  <c r="AL381" i="4" s="1"/>
  <c r="P380" i="4"/>
  <c r="AL380" i="4" s="1"/>
  <c r="P379" i="4"/>
  <c r="AL379" i="4" s="1"/>
  <c r="P378" i="4"/>
  <c r="AL378" i="4" s="1"/>
  <c r="P377" i="4"/>
  <c r="AL377" i="4" s="1"/>
  <c r="P376" i="4"/>
  <c r="AL376" i="4" s="1"/>
  <c r="P375" i="4"/>
  <c r="AL375" i="4" s="1"/>
  <c r="P374" i="4"/>
  <c r="AL374" i="4" s="1"/>
  <c r="P373" i="4"/>
  <c r="AL373" i="4" s="1"/>
  <c r="P372" i="4"/>
  <c r="AL372" i="4" s="1"/>
  <c r="P371" i="4"/>
  <c r="AL371" i="4" s="1"/>
  <c r="P370" i="4"/>
  <c r="AL370" i="4" s="1"/>
  <c r="P369" i="4"/>
  <c r="AL369" i="4" s="1"/>
  <c r="P368" i="4"/>
  <c r="AL368" i="4" s="1"/>
  <c r="P367" i="4"/>
  <c r="AL367" i="4" s="1"/>
  <c r="P366" i="4"/>
  <c r="AL366" i="4" s="1"/>
  <c r="P365" i="4"/>
  <c r="AL365" i="4" s="1"/>
  <c r="P364" i="4"/>
  <c r="AL364" i="4" s="1"/>
  <c r="P363" i="4"/>
  <c r="AL363" i="4" s="1"/>
  <c r="P362" i="4"/>
  <c r="AL362" i="4" s="1"/>
  <c r="P361" i="4"/>
  <c r="AL361" i="4" s="1"/>
  <c r="P360" i="4"/>
  <c r="AL360" i="4" s="1"/>
  <c r="P359" i="4"/>
  <c r="AL359" i="4" s="1"/>
  <c r="P358" i="4"/>
  <c r="AL358" i="4" s="1"/>
  <c r="P357" i="4"/>
  <c r="AL357" i="4" s="1"/>
  <c r="P356" i="4"/>
  <c r="AL356" i="4" s="1"/>
  <c r="P355" i="4"/>
  <c r="AL355" i="4" s="1"/>
  <c r="P354" i="4"/>
  <c r="AL354" i="4" s="1"/>
  <c r="P353" i="4"/>
  <c r="AL353" i="4" s="1"/>
  <c r="P352" i="4"/>
  <c r="AL352" i="4" s="1"/>
  <c r="P351" i="4"/>
  <c r="AL351" i="4" s="1"/>
  <c r="P350" i="4"/>
  <c r="AL350" i="4" s="1"/>
  <c r="P349" i="4"/>
  <c r="AL349" i="4" s="1"/>
  <c r="P348" i="4"/>
  <c r="AL348" i="4" s="1"/>
  <c r="P347" i="4"/>
  <c r="AL347" i="4" s="1"/>
  <c r="P346" i="4"/>
  <c r="AL346" i="4" s="1"/>
  <c r="P345" i="4"/>
  <c r="AL345" i="4" s="1"/>
  <c r="P344" i="4"/>
  <c r="AL344" i="4" s="1"/>
  <c r="P343" i="4"/>
  <c r="AL343" i="4" s="1"/>
  <c r="P342" i="4"/>
  <c r="AL342" i="4" s="1"/>
  <c r="P341" i="4"/>
  <c r="AL341" i="4" s="1"/>
  <c r="P340" i="4"/>
  <c r="AL340" i="4" s="1"/>
  <c r="P339" i="4"/>
  <c r="AL339" i="4" s="1"/>
  <c r="P338" i="4"/>
  <c r="AL338" i="4" s="1"/>
  <c r="P337" i="4"/>
  <c r="AL337" i="4" s="1"/>
  <c r="P336" i="4"/>
  <c r="AL336" i="4" s="1"/>
  <c r="P335" i="4"/>
  <c r="AL335" i="4" s="1"/>
  <c r="P334" i="4"/>
  <c r="AL334" i="4" s="1"/>
  <c r="P333" i="4"/>
  <c r="AL333" i="4" s="1"/>
  <c r="P332" i="4"/>
  <c r="AL332" i="4" s="1"/>
  <c r="P331" i="4"/>
  <c r="AL331" i="4" s="1"/>
  <c r="P330" i="4"/>
  <c r="AL330" i="4" s="1"/>
  <c r="P329" i="4"/>
  <c r="AL329" i="4" s="1"/>
  <c r="P328" i="4"/>
  <c r="AL328" i="4" s="1"/>
  <c r="P327" i="4"/>
  <c r="AL327" i="4" s="1"/>
  <c r="P326" i="4"/>
  <c r="AL326" i="4" s="1"/>
  <c r="P325" i="4"/>
  <c r="AL325" i="4" s="1"/>
  <c r="P324" i="4"/>
  <c r="AL324" i="4" s="1"/>
  <c r="P323" i="4"/>
  <c r="AL323" i="4" s="1"/>
  <c r="P322" i="4"/>
  <c r="AL322" i="4" s="1"/>
  <c r="P321" i="4"/>
  <c r="AL321" i="4" s="1"/>
  <c r="P320" i="4"/>
  <c r="AL320" i="4" s="1"/>
  <c r="P319" i="4"/>
  <c r="AL319" i="4" s="1"/>
  <c r="P318" i="4"/>
  <c r="AL318" i="4" s="1"/>
  <c r="P317" i="4"/>
  <c r="AL317" i="4" s="1"/>
  <c r="P316" i="4"/>
  <c r="AL316" i="4" s="1"/>
  <c r="P315" i="4"/>
  <c r="AL315" i="4" s="1"/>
  <c r="P314" i="4"/>
  <c r="AL314" i="4" s="1"/>
  <c r="P313" i="4"/>
  <c r="AL313" i="4" s="1"/>
  <c r="P312" i="4"/>
  <c r="AL312" i="4" s="1"/>
  <c r="P311" i="4"/>
  <c r="AL311" i="4" s="1"/>
  <c r="P310" i="4"/>
  <c r="AL310" i="4" s="1"/>
  <c r="P309" i="4"/>
  <c r="AL309" i="4" s="1"/>
  <c r="P308" i="4"/>
  <c r="AL308" i="4" s="1"/>
  <c r="P307" i="4"/>
  <c r="AL307" i="4" s="1"/>
  <c r="P306" i="4"/>
  <c r="AL306" i="4" s="1"/>
  <c r="P305" i="4"/>
  <c r="AL305" i="4" s="1"/>
  <c r="P304" i="4"/>
  <c r="AL304" i="4" s="1"/>
  <c r="P303" i="4"/>
  <c r="AL303" i="4" s="1"/>
  <c r="P302" i="4"/>
  <c r="AL302" i="4" s="1"/>
  <c r="P301" i="4"/>
  <c r="AL301" i="4" s="1"/>
  <c r="P300" i="4"/>
  <c r="AL300" i="4" s="1"/>
  <c r="P299" i="4"/>
  <c r="AL299" i="4" s="1"/>
  <c r="P298" i="4"/>
  <c r="AL298" i="4" s="1"/>
  <c r="P297" i="4"/>
  <c r="AL297" i="4" s="1"/>
  <c r="P296" i="4"/>
  <c r="AL296" i="4" s="1"/>
  <c r="P295" i="4"/>
  <c r="AL295" i="4" s="1"/>
  <c r="P294" i="4"/>
  <c r="AL294" i="4" s="1"/>
  <c r="P293" i="4"/>
  <c r="AL293" i="4" s="1"/>
  <c r="P292" i="4"/>
  <c r="AL292" i="4" s="1"/>
  <c r="P291" i="4"/>
  <c r="AL291" i="4" s="1"/>
  <c r="P290" i="4"/>
  <c r="AL290" i="4" s="1"/>
  <c r="P289" i="4"/>
  <c r="AL289" i="4" s="1"/>
  <c r="P288" i="4"/>
  <c r="AL288" i="4" s="1"/>
  <c r="P287" i="4"/>
  <c r="AL287" i="4" s="1"/>
  <c r="P286" i="4"/>
  <c r="AL286" i="4" s="1"/>
  <c r="P285" i="4"/>
  <c r="AL285" i="4" s="1"/>
  <c r="P284" i="4"/>
  <c r="AL284" i="4" s="1"/>
  <c r="P283" i="4"/>
  <c r="AL283" i="4" s="1"/>
  <c r="P282" i="4"/>
  <c r="AL282" i="4" s="1"/>
  <c r="P281" i="4"/>
  <c r="AL281" i="4" s="1"/>
  <c r="P280" i="4"/>
  <c r="AL280" i="4" s="1"/>
  <c r="P279" i="4"/>
  <c r="AL279" i="4" s="1"/>
  <c r="P278" i="4"/>
  <c r="AL278" i="4" s="1"/>
  <c r="P277" i="4"/>
  <c r="AL277" i="4" s="1"/>
  <c r="P276" i="4"/>
  <c r="AL276" i="4" s="1"/>
  <c r="P275" i="4"/>
  <c r="AL275" i="4" s="1"/>
  <c r="P274" i="4"/>
  <c r="AL274" i="4" s="1"/>
  <c r="P273" i="4"/>
  <c r="AL273" i="4" s="1"/>
  <c r="P272" i="4"/>
  <c r="AL272" i="4" s="1"/>
  <c r="P271" i="4"/>
  <c r="AL271" i="4" s="1"/>
  <c r="P270" i="4"/>
  <c r="AL270" i="4" s="1"/>
  <c r="P269" i="4"/>
  <c r="AL269" i="4" s="1"/>
  <c r="P268" i="4"/>
  <c r="AL268" i="4" s="1"/>
  <c r="P267" i="4"/>
  <c r="AL267" i="4" s="1"/>
  <c r="P266" i="4"/>
  <c r="AL266" i="4" s="1"/>
  <c r="P265" i="4"/>
  <c r="AL265" i="4" s="1"/>
  <c r="P264" i="4"/>
  <c r="AL264" i="4" s="1"/>
  <c r="P263" i="4"/>
  <c r="AL263" i="4" s="1"/>
  <c r="P262" i="4"/>
  <c r="AL262" i="4" s="1"/>
  <c r="P261" i="4"/>
  <c r="AL261" i="4" s="1"/>
  <c r="P260" i="4"/>
  <c r="AL260" i="4" s="1"/>
  <c r="P259" i="4"/>
  <c r="AL259" i="4" s="1"/>
  <c r="P258" i="4"/>
  <c r="AL258" i="4" s="1"/>
  <c r="P257" i="4"/>
  <c r="AL257" i="4" s="1"/>
  <c r="P256" i="4"/>
  <c r="AL256" i="4" s="1"/>
  <c r="P255" i="4"/>
  <c r="AL255" i="4" s="1"/>
  <c r="P254" i="4"/>
  <c r="AL254" i="4" s="1"/>
  <c r="P253" i="4"/>
  <c r="AL253" i="4" s="1"/>
  <c r="P252" i="4"/>
  <c r="AL252" i="4" s="1"/>
  <c r="P251" i="4"/>
  <c r="AL251" i="4" s="1"/>
  <c r="P250" i="4"/>
  <c r="AL250" i="4" s="1"/>
  <c r="P249" i="4"/>
  <c r="AL249" i="4" s="1"/>
  <c r="P248" i="4"/>
  <c r="AL248" i="4" s="1"/>
  <c r="P247" i="4"/>
  <c r="AL247" i="4" s="1"/>
  <c r="P246" i="4"/>
  <c r="AL246" i="4" s="1"/>
  <c r="P245" i="4"/>
  <c r="AL245" i="4" s="1"/>
  <c r="P244" i="4"/>
  <c r="AL244" i="4" s="1"/>
  <c r="P243" i="4"/>
  <c r="AL243" i="4" s="1"/>
  <c r="P242" i="4"/>
  <c r="AL242" i="4" s="1"/>
  <c r="P241" i="4"/>
  <c r="AL241" i="4" s="1"/>
  <c r="P240" i="4"/>
  <c r="AL240" i="4" s="1"/>
  <c r="P239" i="4"/>
  <c r="AL239" i="4" s="1"/>
  <c r="P238" i="4"/>
  <c r="AL238" i="4" s="1"/>
  <c r="P237" i="4"/>
  <c r="AL237" i="4" s="1"/>
  <c r="P236" i="4"/>
  <c r="AL236" i="4" s="1"/>
  <c r="P235" i="4"/>
  <c r="AL235" i="4" s="1"/>
  <c r="P234" i="4"/>
  <c r="AL234" i="4" s="1"/>
  <c r="P233" i="4"/>
  <c r="AL233" i="4" s="1"/>
  <c r="P232" i="4"/>
  <c r="AL232" i="4" s="1"/>
  <c r="P231" i="4"/>
  <c r="AL231" i="4" s="1"/>
  <c r="P230" i="4"/>
  <c r="AL230" i="4" s="1"/>
  <c r="P229" i="4"/>
  <c r="AL229" i="4" s="1"/>
  <c r="P228" i="4"/>
  <c r="AL228" i="4" s="1"/>
  <c r="P227" i="4"/>
  <c r="AL227" i="4" s="1"/>
  <c r="P226" i="4"/>
  <c r="AL226" i="4" s="1"/>
  <c r="P225" i="4"/>
  <c r="AL225" i="4" s="1"/>
  <c r="P224" i="4"/>
  <c r="AL224" i="4" s="1"/>
  <c r="P223" i="4"/>
  <c r="AL223" i="4" s="1"/>
  <c r="P222" i="4"/>
  <c r="AL222" i="4" s="1"/>
  <c r="P221" i="4"/>
  <c r="AL221" i="4" s="1"/>
  <c r="P220" i="4"/>
  <c r="AL220" i="4" s="1"/>
  <c r="P219" i="4"/>
  <c r="AL219" i="4" s="1"/>
  <c r="P218" i="4"/>
  <c r="AL218" i="4" s="1"/>
  <c r="P217" i="4"/>
  <c r="AL217" i="4" s="1"/>
  <c r="P216" i="4"/>
  <c r="AL216" i="4" s="1"/>
  <c r="P215" i="4"/>
  <c r="AL215" i="4" s="1"/>
  <c r="P214" i="4"/>
  <c r="AL214" i="4" s="1"/>
  <c r="P213" i="4"/>
  <c r="AL213" i="4" s="1"/>
  <c r="P212" i="4"/>
  <c r="AL212" i="4" s="1"/>
  <c r="P211" i="4"/>
  <c r="AL211" i="4" s="1"/>
  <c r="P210" i="4"/>
  <c r="AL210" i="4" s="1"/>
  <c r="P209" i="4"/>
  <c r="AL209" i="4" s="1"/>
  <c r="P208" i="4"/>
  <c r="AL208" i="4" s="1"/>
  <c r="P207" i="4"/>
  <c r="AL207" i="4" s="1"/>
  <c r="P206" i="4"/>
  <c r="AL206" i="4" s="1"/>
  <c r="P205" i="4"/>
  <c r="AL205" i="4" s="1"/>
  <c r="P204" i="4"/>
  <c r="AL204" i="4" s="1"/>
  <c r="P203" i="4"/>
  <c r="AL203" i="4" s="1"/>
  <c r="P202" i="4"/>
  <c r="AL202" i="4" s="1"/>
  <c r="P201" i="4"/>
  <c r="AL201" i="4" s="1"/>
  <c r="P200" i="4"/>
  <c r="AL200" i="4" s="1"/>
  <c r="P199" i="4"/>
  <c r="AL199" i="4" s="1"/>
  <c r="P198" i="4"/>
  <c r="AL198" i="4" s="1"/>
  <c r="P197" i="4"/>
  <c r="AL197" i="4" s="1"/>
  <c r="P196" i="4"/>
  <c r="AL196" i="4" s="1"/>
  <c r="P195" i="4"/>
  <c r="AL195" i="4" s="1"/>
  <c r="P194" i="4"/>
  <c r="AL194" i="4" s="1"/>
  <c r="P193" i="4"/>
  <c r="AL193" i="4" s="1"/>
  <c r="P192" i="4"/>
  <c r="AL192" i="4" s="1"/>
  <c r="P191" i="4"/>
  <c r="AL191" i="4" s="1"/>
  <c r="P190" i="4"/>
  <c r="AL190" i="4" s="1"/>
  <c r="P189" i="4"/>
  <c r="AL189" i="4" s="1"/>
  <c r="P188" i="4"/>
  <c r="AL188" i="4" s="1"/>
  <c r="P187" i="4"/>
  <c r="AL187" i="4" s="1"/>
  <c r="P186" i="4"/>
  <c r="AL186" i="4" s="1"/>
  <c r="P185" i="4"/>
  <c r="AL185" i="4" s="1"/>
  <c r="P184" i="4"/>
  <c r="AL184" i="4" s="1"/>
  <c r="P183" i="4"/>
  <c r="AL183" i="4" s="1"/>
  <c r="P182" i="4"/>
  <c r="AL182" i="4" s="1"/>
  <c r="P181" i="4"/>
  <c r="AL181" i="4" s="1"/>
  <c r="P180" i="4"/>
  <c r="AL180" i="4" s="1"/>
  <c r="P179" i="4"/>
  <c r="AL179" i="4" s="1"/>
  <c r="P178" i="4"/>
  <c r="AL178" i="4" s="1"/>
  <c r="P177" i="4"/>
  <c r="AL177" i="4" s="1"/>
  <c r="P176" i="4"/>
  <c r="AL176" i="4" s="1"/>
  <c r="P175" i="4"/>
  <c r="AL175" i="4" s="1"/>
  <c r="P174" i="4"/>
  <c r="AL174" i="4" s="1"/>
  <c r="P173" i="4"/>
  <c r="AL173" i="4" s="1"/>
  <c r="P172" i="4"/>
  <c r="AL172" i="4" s="1"/>
  <c r="P171" i="4"/>
  <c r="AL171" i="4" s="1"/>
  <c r="P170" i="4"/>
  <c r="AL170" i="4" s="1"/>
  <c r="P169" i="4"/>
  <c r="AL169" i="4" s="1"/>
  <c r="P168" i="4"/>
  <c r="AL168" i="4" s="1"/>
  <c r="P167" i="4"/>
  <c r="AL167" i="4" s="1"/>
  <c r="P166" i="4"/>
  <c r="AL166" i="4" s="1"/>
  <c r="P165" i="4"/>
  <c r="AL165" i="4" s="1"/>
  <c r="P164" i="4"/>
  <c r="AL164" i="4" s="1"/>
  <c r="P163" i="4"/>
  <c r="AL163" i="4" s="1"/>
  <c r="P162" i="4"/>
  <c r="AL162" i="4" s="1"/>
  <c r="P161" i="4"/>
  <c r="AL161" i="4" s="1"/>
  <c r="P160" i="4"/>
  <c r="AL160" i="4" s="1"/>
  <c r="P159" i="4"/>
  <c r="AL159" i="4" s="1"/>
  <c r="P158" i="4"/>
  <c r="AL158" i="4" s="1"/>
  <c r="P157" i="4"/>
  <c r="AL157" i="4" s="1"/>
  <c r="P156" i="4"/>
  <c r="AL156" i="4" s="1"/>
  <c r="P155" i="4"/>
  <c r="AL155" i="4" s="1"/>
  <c r="P154" i="4"/>
  <c r="AL154" i="4" s="1"/>
  <c r="P153" i="4"/>
  <c r="AL153" i="4" s="1"/>
  <c r="P152" i="4"/>
  <c r="AL152" i="4" s="1"/>
  <c r="P151" i="4"/>
  <c r="AL151" i="4" s="1"/>
  <c r="P150" i="4"/>
  <c r="AL150" i="4" s="1"/>
  <c r="P149" i="4"/>
  <c r="AL149" i="4" s="1"/>
  <c r="P148" i="4"/>
  <c r="AL148" i="4" s="1"/>
  <c r="P147" i="4"/>
  <c r="AL147" i="4" s="1"/>
  <c r="P146" i="4"/>
  <c r="AL146" i="4" s="1"/>
  <c r="P145" i="4"/>
  <c r="AL145" i="4" s="1"/>
  <c r="P144" i="4"/>
  <c r="AL144" i="4" s="1"/>
  <c r="P143" i="4"/>
  <c r="AL143" i="4" s="1"/>
  <c r="P142" i="4"/>
  <c r="AL142" i="4" s="1"/>
  <c r="P141" i="4"/>
  <c r="AL141" i="4" s="1"/>
  <c r="P140" i="4"/>
  <c r="AL140" i="4" s="1"/>
  <c r="P139" i="4"/>
  <c r="AL139" i="4" s="1"/>
  <c r="P138" i="4"/>
  <c r="AL138" i="4" s="1"/>
  <c r="P137" i="4"/>
  <c r="AL137" i="4" s="1"/>
  <c r="P136" i="4"/>
  <c r="AL136" i="4" s="1"/>
  <c r="P135" i="4"/>
  <c r="AL135" i="4" s="1"/>
  <c r="P134" i="4"/>
  <c r="AL134" i="4" s="1"/>
  <c r="P133" i="4"/>
  <c r="AL133" i="4" s="1"/>
  <c r="P132" i="4"/>
  <c r="AL132" i="4" s="1"/>
  <c r="P131" i="4"/>
  <c r="AL131" i="4" s="1"/>
  <c r="P130" i="4"/>
  <c r="AL130" i="4" s="1"/>
  <c r="P129" i="4"/>
  <c r="AL129" i="4" s="1"/>
  <c r="P128" i="4"/>
  <c r="AL128" i="4" s="1"/>
  <c r="P127" i="4"/>
  <c r="AL127" i="4" s="1"/>
  <c r="P126" i="4"/>
  <c r="AL126" i="4" s="1"/>
  <c r="P125" i="4"/>
  <c r="AL125" i="4" s="1"/>
  <c r="P124" i="4"/>
  <c r="AL124" i="4" s="1"/>
  <c r="P123" i="4"/>
  <c r="AL123" i="4" s="1"/>
  <c r="P122" i="4"/>
  <c r="AL122" i="4" s="1"/>
  <c r="P121" i="4"/>
  <c r="AL121" i="4" s="1"/>
  <c r="P120" i="4"/>
  <c r="AL120" i="4" s="1"/>
  <c r="P119" i="4"/>
  <c r="AL119" i="4" s="1"/>
  <c r="P118" i="4"/>
  <c r="AL118" i="4" s="1"/>
  <c r="P117" i="4"/>
  <c r="AL117" i="4" s="1"/>
  <c r="P116" i="4"/>
  <c r="AL116" i="4" s="1"/>
  <c r="P115" i="4"/>
  <c r="AL115" i="4" s="1"/>
  <c r="P114" i="4"/>
  <c r="AL114" i="4" s="1"/>
  <c r="P113" i="4"/>
  <c r="AL113" i="4" s="1"/>
  <c r="P112" i="4"/>
  <c r="AL112" i="4" s="1"/>
  <c r="P111" i="4"/>
  <c r="AL111" i="4" s="1"/>
  <c r="P110" i="4"/>
  <c r="AL110" i="4" s="1"/>
  <c r="P109" i="4"/>
  <c r="AL109" i="4" s="1"/>
  <c r="P108" i="4"/>
  <c r="AL108" i="4" s="1"/>
  <c r="P107" i="4"/>
  <c r="AL107" i="4" s="1"/>
  <c r="P106" i="4"/>
  <c r="AL106" i="4" s="1"/>
  <c r="P105" i="4"/>
  <c r="AL105" i="4" s="1"/>
  <c r="P104" i="4"/>
  <c r="AL104" i="4" s="1"/>
  <c r="P103" i="4"/>
  <c r="AL103" i="4" s="1"/>
  <c r="P102" i="4"/>
  <c r="AL102" i="4" s="1"/>
  <c r="P101" i="4"/>
  <c r="AL101" i="4" s="1"/>
  <c r="P100" i="4"/>
  <c r="AL100" i="4" s="1"/>
  <c r="P99" i="4"/>
  <c r="AL99" i="4" s="1"/>
  <c r="P98" i="4"/>
  <c r="AL98" i="4" s="1"/>
  <c r="P97" i="4"/>
  <c r="AL97" i="4" s="1"/>
  <c r="P96" i="4"/>
  <c r="AL96" i="4" s="1"/>
  <c r="P95" i="4"/>
  <c r="AL95" i="4" s="1"/>
  <c r="P94" i="4"/>
  <c r="AL94" i="4" s="1"/>
  <c r="P93" i="4"/>
  <c r="AL93" i="4" s="1"/>
  <c r="P92" i="4"/>
  <c r="AL92" i="4" s="1"/>
  <c r="P91" i="4"/>
  <c r="AL91" i="4" s="1"/>
  <c r="P90" i="4"/>
  <c r="AL90" i="4" s="1"/>
  <c r="P89" i="4"/>
  <c r="AL89" i="4" s="1"/>
  <c r="P88" i="4"/>
  <c r="AL88" i="4" s="1"/>
  <c r="P87" i="4"/>
  <c r="AL87" i="4" s="1"/>
  <c r="P86" i="4"/>
  <c r="AL86" i="4" s="1"/>
  <c r="P85" i="4"/>
  <c r="AL85" i="4" s="1"/>
  <c r="P84" i="4"/>
  <c r="AL84" i="4" s="1"/>
  <c r="P83" i="4"/>
  <c r="AL83" i="4" s="1"/>
  <c r="P82" i="4"/>
  <c r="AL82" i="4" s="1"/>
  <c r="P81" i="4"/>
  <c r="AL81" i="4" s="1"/>
  <c r="P80" i="4"/>
  <c r="AL80" i="4" s="1"/>
  <c r="P79" i="4"/>
  <c r="AL79" i="4" s="1"/>
  <c r="P78" i="4"/>
  <c r="AL78" i="4" s="1"/>
  <c r="P77" i="4"/>
  <c r="AL77" i="4" s="1"/>
  <c r="P76" i="4"/>
  <c r="AL76" i="4" s="1"/>
  <c r="P75" i="4"/>
  <c r="AL75" i="4" s="1"/>
  <c r="P74" i="4"/>
  <c r="AL74" i="4" s="1"/>
  <c r="P73" i="4"/>
  <c r="AL73" i="4" s="1"/>
  <c r="P72" i="4"/>
  <c r="AL72" i="4" s="1"/>
  <c r="P71" i="4"/>
  <c r="AL71" i="4" s="1"/>
  <c r="P70" i="4"/>
  <c r="AL70" i="4" s="1"/>
  <c r="P69" i="4"/>
  <c r="AL69" i="4" s="1"/>
  <c r="P68" i="4"/>
  <c r="AL68" i="4" s="1"/>
  <c r="P67" i="4"/>
  <c r="AL67" i="4" s="1"/>
  <c r="P66" i="4"/>
  <c r="AL66" i="4" s="1"/>
  <c r="P65" i="4"/>
  <c r="AL65" i="4" s="1"/>
  <c r="P64" i="4"/>
  <c r="AL64" i="4" s="1"/>
  <c r="P63" i="4"/>
  <c r="AL63" i="4" s="1"/>
  <c r="P62" i="4"/>
  <c r="AL62" i="4" s="1"/>
  <c r="P61" i="4"/>
  <c r="AL61" i="4" s="1"/>
  <c r="P60" i="4"/>
  <c r="AL60" i="4" s="1"/>
  <c r="P59" i="4"/>
  <c r="AL59" i="4" s="1"/>
  <c r="P58" i="4"/>
  <c r="AL58" i="4" s="1"/>
  <c r="P57" i="4"/>
  <c r="AL57" i="4" s="1"/>
  <c r="P56" i="4"/>
  <c r="AL56" i="4" s="1"/>
  <c r="P55" i="4"/>
  <c r="AL55" i="4" s="1"/>
  <c r="P54" i="4"/>
  <c r="AL54" i="4" s="1"/>
  <c r="P53" i="4"/>
  <c r="AL53" i="4" s="1"/>
  <c r="P52" i="4"/>
  <c r="AL52" i="4" s="1"/>
  <c r="P51" i="4"/>
  <c r="AL51" i="4" s="1"/>
  <c r="P50" i="4"/>
  <c r="AL50" i="4" s="1"/>
  <c r="P49" i="4"/>
  <c r="AL49" i="4" s="1"/>
  <c r="P48" i="4"/>
  <c r="AL48" i="4" s="1"/>
  <c r="P46" i="4"/>
  <c r="AL46" i="4" s="1"/>
  <c r="P45" i="4"/>
  <c r="AL45" i="4" s="1"/>
  <c r="P44" i="4"/>
  <c r="AL44" i="4" s="1"/>
  <c r="P43" i="4"/>
  <c r="AL43" i="4" s="1"/>
  <c r="P42" i="4"/>
  <c r="AL42" i="4" s="1"/>
  <c r="P41" i="4"/>
  <c r="P40" i="4"/>
  <c r="P39" i="4"/>
  <c r="P38" i="4"/>
  <c r="P37" i="4"/>
  <c r="P36" i="4"/>
  <c r="P35" i="4"/>
  <c r="P34" i="4"/>
  <c r="P33" i="4"/>
  <c r="AI33" i="4" s="1"/>
  <c r="P32" i="4"/>
  <c r="P31" i="4"/>
  <c r="P30" i="4"/>
  <c r="P29" i="4"/>
  <c r="P28" i="4"/>
  <c r="P47" i="4"/>
  <c r="AL47" i="4" s="1"/>
  <c r="AD599" i="4"/>
  <c r="AD598" i="4"/>
  <c r="AD597" i="4"/>
  <c r="AD596" i="4"/>
  <c r="AD595" i="4"/>
  <c r="AD594" i="4"/>
  <c r="AD593" i="4"/>
  <c r="AD592" i="4"/>
  <c r="AD591" i="4"/>
  <c r="AD590" i="4"/>
  <c r="AD589" i="4"/>
  <c r="AD588" i="4"/>
  <c r="AD587" i="4"/>
  <c r="AD586" i="4"/>
  <c r="AD585" i="4"/>
  <c r="AD584" i="4"/>
  <c r="AD583" i="4"/>
  <c r="AD582" i="4"/>
  <c r="AD581" i="4"/>
  <c r="AD580" i="4"/>
  <c r="AD579" i="4"/>
  <c r="AD578" i="4"/>
  <c r="AD577" i="4"/>
  <c r="AD576" i="4"/>
  <c r="AD575" i="4"/>
  <c r="AD574" i="4"/>
  <c r="AD573" i="4"/>
  <c r="AD572" i="4"/>
  <c r="AD571" i="4"/>
  <c r="AD570" i="4"/>
  <c r="AD569" i="4"/>
  <c r="AD568" i="4"/>
  <c r="AD567" i="4"/>
  <c r="AD566" i="4"/>
  <c r="AD565" i="4"/>
  <c r="AD564" i="4"/>
  <c r="AD563" i="4"/>
  <c r="AD562" i="4"/>
  <c r="AD561" i="4"/>
  <c r="AD560" i="4"/>
  <c r="AD559" i="4"/>
  <c r="AD558" i="4"/>
  <c r="AD557" i="4"/>
  <c r="AD556" i="4"/>
  <c r="AD555" i="4"/>
  <c r="AD554" i="4"/>
  <c r="AD553" i="4"/>
  <c r="AD552" i="4"/>
  <c r="AD551" i="4"/>
  <c r="AD550" i="4"/>
  <c r="AD549" i="4"/>
  <c r="AD548" i="4"/>
  <c r="AD547" i="4"/>
  <c r="AD546" i="4"/>
  <c r="AD545" i="4"/>
  <c r="AD544" i="4"/>
  <c r="AD543" i="4"/>
  <c r="AD542" i="4"/>
  <c r="AD541" i="4"/>
  <c r="AD540" i="4"/>
  <c r="AD539" i="4"/>
  <c r="AD538" i="4"/>
  <c r="AD537" i="4"/>
  <c r="AD536" i="4"/>
  <c r="AD535" i="4"/>
  <c r="AD534" i="4"/>
  <c r="AD533" i="4"/>
  <c r="AD532" i="4"/>
  <c r="AD531" i="4"/>
  <c r="AD530" i="4"/>
  <c r="AD529" i="4"/>
  <c r="AD528" i="4"/>
  <c r="AD527" i="4"/>
  <c r="AD526" i="4"/>
  <c r="AD525" i="4"/>
  <c r="AD524" i="4"/>
  <c r="AD523" i="4"/>
  <c r="AD522" i="4"/>
  <c r="AD521" i="4"/>
  <c r="AD520" i="4"/>
  <c r="AD519" i="4"/>
  <c r="AD518" i="4"/>
  <c r="AD517" i="4"/>
  <c r="AD516" i="4"/>
  <c r="AD515" i="4"/>
  <c r="AD514" i="4"/>
  <c r="AD513" i="4"/>
  <c r="AD512" i="4"/>
  <c r="AD511" i="4"/>
  <c r="AD510" i="4"/>
  <c r="AD509" i="4"/>
  <c r="AD508" i="4"/>
  <c r="AD507" i="4"/>
  <c r="AD506" i="4"/>
  <c r="AD505" i="4"/>
  <c r="AD504" i="4"/>
  <c r="AD503" i="4"/>
  <c r="AD502" i="4"/>
  <c r="AD501" i="4"/>
  <c r="AD500" i="4"/>
  <c r="AD499" i="4"/>
  <c r="AD498" i="4"/>
  <c r="AD497" i="4"/>
  <c r="AD496" i="4"/>
  <c r="AD495" i="4"/>
  <c r="AD494" i="4"/>
  <c r="AD493" i="4"/>
  <c r="AD492" i="4"/>
  <c r="AD491" i="4"/>
  <c r="AD490" i="4"/>
  <c r="AD489" i="4"/>
  <c r="AD488" i="4"/>
  <c r="AD487" i="4"/>
  <c r="AD486" i="4"/>
  <c r="AD485" i="4"/>
  <c r="AD484" i="4"/>
  <c r="AD483" i="4"/>
  <c r="AD482" i="4"/>
  <c r="AD481" i="4"/>
  <c r="AD480" i="4"/>
  <c r="AD479" i="4"/>
  <c r="AD478" i="4"/>
  <c r="AD477" i="4"/>
  <c r="AD476" i="4"/>
  <c r="AD475" i="4"/>
  <c r="AD474" i="4"/>
  <c r="AD473" i="4"/>
  <c r="AD472" i="4"/>
  <c r="AD471" i="4"/>
  <c r="AD470" i="4"/>
  <c r="AD469" i="4"/>
  <c r="AD468" i="4"/>
  <c r="AD467" i="4"/>
  <c r="AD466" i="4"/>
  <c r="AD465" i="4"/>
  <c r="AD464" i="4"/>
  <c r="AD463" i="4"/>
  <c r="AD462" i="4"/>
  <c r="AD461" i="4"/>
  <c r="AD460" i="4"/>
  <c r="AD459" i="4"/>
  <c r="AD458" i="4"/>
  <c r="AD457" i="4"/>
  <c r="AD456" i="4"/>
  <c r="AD455" i="4"/>
  <c r="AD454" i="4"/>
  <c r="AD453" i="4"/>
  <c r="AD452" i="4"/>
  <c r="AD451" i="4"/>
  <c r="AD450" i="4"/>
  <c r="AD449" i="4"/>
  <c r="AD448" i="4"/>
  <c r="AD447" i="4"/>
  <c r="AD446" i="4"/>
  <c r="AD445" i="4"/>
  <c r="AD444" i="4"/>
  <c r="AD443" i="4"/>
  <c r="AD442" i="4"/>
  <c r="AD441" i="4"/>
  <c r="AD440" i="4"/>
  <c r="AD439" i="4"/>
  <c r="AD438" i="4"/>
  <c r="AD437" i="4"/>
  <c r="AD436" i="4"/>
  <c r="AD435" i="4"/>
  <c r="AD434" i="4"/>
  <c r="AD433" i="4"/>
  <c r="AD432" i="4"/>
  <c r="AD431" i="4"/>
  <c r="AD430" i="4"/>
  <c r="AD429" i="4"/>
  <c r="AD428" i="4"/>
  <c r="AD427" i="4"/>
  <c r="AD426" i="4"/>
  <c r="AD425" i="4"/>
  <c r="AD424" i="4"/>
  <c r="AD423" i="4"/>
  <c r="AD422" i="4"/>
  <c r="AD421" i="4"/>
  <c r="AD420" i="4"/>
  <c r="AD419" i="4"/>
  <c r="AD418" i="4"/>
  <c r="AD417" i="4"/>
  <c r="AD416" i="4"/>
  <c r="AD415" i="4"/>
  <c r="AD414" i="4"/>
  <c r="AD413" i="4"/>
  <c r="AD412" i="4"/>
  <c r="AD411" i="4"/>
  <c r="AD410" i="4"/>
  <c r="AD409" i="4"/>
  <c r="AD408" i="4"/>
  <c r="AD407" i="4"/>
  <c r="AD406" i="4"/>
  <c r="AD405" i="4"/>
  <c r="AD404" i="4"/>
  <c r="AD403" i="4"/>
  <c r="AD402" i="4"/>
  <c r="AD401" i="4"/>
  <c r="AD400" i="4"/>
  <c r="AD399" i="4"/>
  <c r="AD398" i="4"/>
  <c r="AD397" i="4"/>
  <c r="AD396" i="4"/>
  <c r="AD395" i="4"/>
  <c r="AD394" i="4"/>
  <c r="AD393" i="4"/>
  <c r="AD392" i="4"/>
  <c r="AD391" i="4"/>
  <c r="AD390" i="4"/>
  <c r="AD389" i="4"/>
  <c r="AD388" i="4"/>
  <c r="AD387" i="4"/>
  <c r="AD386" i="4"/>
  <c r="AD385" i="4"/>
  <c r="AD384" i="4"/>
  <c r="AD383" i="4"/>
  <c r="AD382" i="4"/>
  <c r="AD381" i="4"/>
  <c r="AD380" i="4"/>
  <c r="AD379" i="4"/>
  <c r="AD378" i="4"/>
  <c r="AD377" i="4"/>
  <c r="AD376" i="4"/>
  <c r="AD375" i="4"/>
  <c r="AD374" i="4"/>
  <c r="AD373" i="4"/>
  <c r="AD372" i="4"/>
  <c r="AD371" i="4"/>
  <c r="AD370" i="4"/>
  <c r="AD369" i="4"/>
  <c r="AD368" i="4"/>
  <c r="AD367" i="4"/>
  <c r="AD366" i="4"/>
  <c r="AD365" i="4"/>
  <c r="AD364" i="4"/>
  <c r="AD363" i="4"/>
  <c r="AD362" i="4"/>
  <c r="AD361" i="4"/>
  <c r="AD360" i="4"/>
  <c r="AD359" i="4"/>
  <c r="AD358" i="4"/>
  <c r="AD357" i="4"/>
  <c r="AD356" i="4"/>
  <c r="AD355" i="4"/>
  <c r="AD354" i="4"/>
  <c r="AD353" i="4"/>
  <c r="AD352" i="4"/>
  <c r="AD351" i="4"/>
  <c r="AD350" i="4"/>
  <c r="AD349" i="4"/>
  <c r="AD348" i="4"/>
  <c r="AD347" i="4"/>
  <c r="AD346" i="4"/>
  <c r="AD345" i="4"/>
  <c r="AD344" i="4"/>
  <c r="AD343" i="4"/>
  <c r="AD342" i="4"/>
  <c r="AD341" i="4"/>
  <c r="AD340" i="4"/>
  <c r="AD339" i="4"/>
  <c r="AD338" i="4"/>
  <c r="AD337" i="4"/>
  <c r="AD336" i="4"/>
  <c r="AD335" i="4"/>
  <c r="AD334" i="4"/>
  <c r="AD333" i="4"/>
  <c r="AD332"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D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D228" i="4"/>
  <c r="AD227" i="4"/>
  <c r="AD226" i="4"/>
  <c r="AD225" i="4"/>
  <c r="AD224" i="4"/>
  <c r="AD223" i="4"/>
  <c r="AD222" i="4"/>
  <c r="AD221" i="4"/>
  <c r="AD220" i="4"/>
  <c r="AD219" i="4"/>
  <c r="AD218" i="4"/>
  <c r="AD217" i="4"/>
  <c r="AD216" i="4"/>
  <c r="AD215" i="4"/>
  <c r="AD214" i="4"/>
  <c r="AD213" i="4"/>
  <c r="AD212" i="4"/>
  <c r="AD211" i="4"/>
  <c r="AD210" i="4"/>
  <c r="AD209" i="4"/>
  <c r="AD208" i="4"/>
  <c r="AD207" i="4"/>
  <c r="AD206" i="4"/>
  <c r="AD205" i="4"/>
  <c r="AD204" i="4"/>
  <c r="AD203" i="4"/>
  <c r="AD202" i="4"/>
  <c r="AD201" i="4"/>
  <c r="AD200" i="4"/>
  <c r="AD199" i="4"/>
  <c r="AD198" i="4"/>
  <c r="AD197" i="4"/>
  <c r="AD196" i="4"/>
  <c r="AD195" i="4"/>
  <c r="AD194" i="4"/>
  <c r="AD193" i="4"/>
  <c r="AD192" i="4"/>
  <c r="AD191" i="4"/>
  <c r="AD190" i="4"/>
  <c r="AD189" i="4"/>
  <c r="AD188" i="4"/>
  <c r="AD187" i="4"/>
  <c r="AD186" i="4"/>
  <c r="AD185" i="4"/>
  <c r="AD184" i="4"/>
  <c r="AD183" i="4"/>
  <c r="AD182" i="4"/>
  <c r="AD181" i="4"/>
  <c r="AD180" i="4"/>
  <c r="AD179" i="4"/>
  <c r="AD178" i="4"/>
  <c r="AD177" i="4"/>
  <c r="AD176" i="4"/>
  <c r="AD175" i="4"/>
  <c r="AD174" i="4"/>
  <c r="AD173" i="4"/>
  <c r="AD172" i="4"/>
  <c r="AD171" i="4"/>
  <c r="AD170" i="4"/>
  <c r="AD169" i="4"/>
  <c r="AD168" i="4"/>
  <c r="AD167" i="4"/>
  <c r="AD166" i="4"/>
  <c r="AD165" i="4"/>
  <c r="AD164" i="4"/>
  <c r="AD163" i="4"/>
  <c r="AD162" i="4"/>
  <c r="AD161" i="4"/>
  <c r="AD160" i="4"/>
  <c r="AD159" i="4"/>
  <c r="AD158" i="4"/>
  <c r="AD157" i="4"/>
  <c r="AD156" i="4"/>
  <c r="AD155" i="4"/>
  <c r="AD154" i="4"/>
  <c r="AD153" i="4"/>
  <c r="AD152" i="4"/>
  <c r="AD151" i="4"/>
  <c r="AD150" i="4"/>
  <c r="AD149" i="4"/>
  <c r="AD148" i="4"/>
  <c r="AD147" i="4"/>
  <c r="AD146" i="4"/>
  <c r="AD145" i="4"/>
  <c r="AD144" i="4"/>
  <c r="AD143" i="4"/>
  <c r="AD142" i="4"/>
  <c r="AD141" i="4"/>
  <c r="AD140" i="4"/>
  <c r="AD139" i="4"/>
  <c r="AD138" i="4"/>
  <c r="AD137" i="4"/>
  <c r="AD136" i="4"/>
  <c r="AD135" i="4"/>
  <c r="AD134" i="4"/>
  <c r="AD133" i="4"/>
  <c r="AD132" i="4"/>
  <c r="AD131" i="4"/>
  <c r="AD130" i="4"/>
  <c r="AD129" i="4"/>
  <c r="AD128" i="4"/>
  <c r="AD127" i="4"/>
  <c r="AD126" i="4"/>
  <c r="AD125" i="4"/>
  <c r="AD124" i="4"/>
  <c r="AD123" i="4"/>
  <c r="AD122" i="4"/>
  <c r="AD121" i="4"/>
  <c r="AD120" i="4"/>
  <c r="AD119" i="4"/>
  <c r="AD118" i="4"/>
  <c r="AD117" i="4"/>
  <c r="AD116" i="4"/>
  <c r="AD115" i="4"/>
  <c r="AD114" i="4"/>
  <c r="AD113" i="4"/>
  <c r="AD112" i="4"/>
  <c r="AD111" i="4"/>
  <c r="AD110" i="4"/>
  <c r="AD109" i="4"/>
  <c r="AD108" i="4"/>
  <c r="AD107" i="4"/>
  <c r="AD106" i="4"/>
  <c r="AD105" i="4"/>
  <c r="AD104" i="4"/>
  <c r="AD103" i="4"/>
  <c r="AD102" i="4"/>
  <c r="AD101" i="4"/>
  <c r="AD100" i="4"/>
  <c r="AD99" i="4"/>
  <c r="AD98" i="4"/>
  <c r="AD97" i="4"/>
  <c r="AD96" i="4"/>
  <c r="AD95" i="4"/>
  <c r="AD94" i="4"/>
  <c r="AD93" i="4"/>
  <c r="AD92" i="4"/>
  <c r="AD91" i="4"/>
  <c r="AD90" i="4"/>
  <c r="AD89" i="4"/>
  <c r="AD88" i="4"/>
  <c r="AD87" i="4"/>
  <c r="AD86" i="4"/>
  <c r="AD85" i="4"/>
  <c r="AD84" i="4"/>
  <c r="AD83" i="4"/>
  <c r="AD82" i="4"/>
  <c r="AD81" i="4"/>
  <c r="AD80" i="4"/>
  <c r="AD79" i="4"/>
  <c r="AD78" i="4"/>
  <c r="AD77" i="4"/>
  <c r="AD76" i="4"/>
  <c r="AD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S601" i="4" l="1"/>
  <c r="AB601" i="4" s="1"/>
  <c r="S600" i="4"/>
  <c r="AG600" i="4" s="1"/>
  <c r="C13" i="20"/>
  <c r="B8" i="20"/>
  <c r="AF599" i="4"/>
  <c r="AL599" i="4"/>
  <c r="AH601" i="4"/>
  <c r="AL601" i="4"/>
  <c r="AK600" i="4"/>
  <c r="AL600" i="4"/>
  <c r="G5" i="20"/>
  <c r="G6" i="20" s="1"/>
  <c r="F5" i="20"/>
  <c r="F6" i="20" s="1"/>
  <c r="E5" i="20"/>
  <c r="E6" i="20" s="1"/>
  <c r="C5" i="20"/>
  <c r="C6" i="20" s="1"/>
  <c r="C7" i="20"/>
  <c r="C15" i="20"/>
  <c r="C17" i="20"/>
  <c r="C9" i="20"/>
  <c r="C14" i="20"/>
  <c r="C11" i="20"/>
  <c r="C16" i="20"/>
  <c r="C10" i="20"/>
  <c r="C8" i="20"/>
  <c r="C18" i="20"/>
  <c r="D15" i="20"/>
  <c r="D18" i="20"/>
  <c r="D17" i="20"/>
  <c r="E18" i="20"/>
  <c r="E10" i="20"/>
  <c r="E15" i="20"/>
  <c r="E13" i="20"/>
  <c r="E7" i="20"/>
  <c r="E17" i="20"/>
  <c r="E8" i="20"/>
  <c r="E9" i="20"/>
  <c r="E14" i="20"/>
  <c r="E11" i="20"/>
  <c r="E16" i="20"/>
  <c r="F8" i="20"/>
  <c r="F13" i="20"/>
  <c r="F18" i="20"/>
  <c r="F10" i="20"/>
  <c r="F15" i="20"/>
  <c r="F11" i="20"/>
  <c r="F7" i="20"/>
  <c r="F16" i="20"/>
  <c r="F17" i="20"/>
  <c r="F9" i="20"/>
  <c r="F14" i="20"/>
  <c r="G11" i="20"/>
  <c r="G16" i="20"/>
  <c r="G8" i="20"/>
  <c r="G13" i="20"/>
  <c r="G18" i="20"/>
  <c r="G10" i="20"/>
  <c r="G15" i="20"/>
  <c r="G7" i="20"/>
  <c r="G17" i="20"/>
  <c r="G9" i="20"/>
  <c r="G14" i="20"/>
  <c r="B10" i="20"/>
  <c r="B11" i="20"/>
  <c r="B9" i="20"/>
  <c r="O601" i="4"/>
  <c r="B5" i="20"/>
  <c r="B6" i="20" s="1"/>
  <c r="B7" i="20"/>
  <c r="B13" i="20"/>
  <c r="B14" i="20"/>
  <c r="B15" i="20"/>
  <c r="B16" i="20"/>
  <c r="B17" i="20"/>
  <c r="B18" i="20"/>
  <c r="O600" i="4"/>
  <c r="T18" i="4"/>
  <c r="T20" i="4" s="1"/>
  <c r="U18" i="4"/>
  <c r="U20" i="4" s="1"/>
  <c r="R18" i="4"/>
  <c r="R20" i="4" s="1"/>
  <c r="AF600" i="4"/>
  <c r="AI599" i="4"/>
  <c r="AK601" i="4"/>
  <c r="AF601" i="4"/>
  <c r="AI600" i="4"/>
  <c r="AI601" i="4"/>
  <c r="AJ599" i="4"/>
  <c r="V18" i="4"/>
  <c r="V20" i="4" s="1"/>
  <c r="AJ600" i="4"/>
  <c r="W18" i="4"/>
  <c r="W20" i="4" s="1"/>
  <c r="AE600" i="4"/>
  <c r="AH599" i="4"/>
  <c r="AJ601" i="4"/>
  <c r="AE601" i="4"/>
  <c r="AH600" i="4"/>
  <c r="AK599" i="4"/>
  <c r="N599" i="4"/>
  <c r="N598" i="4"/>
  <c r="N597" i="4"/>
  <c r="N596" i="4"/>
  <c r="N595" i="4"/>
  <c r="N594" i="4"/>
  <c r="N593" i="4"/>
  <c r="N592" i="4"/>
  <c r="N591" i="4"/>
  <c r="N590" i="4"/>
  <c r="N589" i="4"/>
  <c r="N588" i="4"/>
  <c r="N587" i="4"/>
  <c r="N586" i="4"/>
  <c r="N585" i="4"/>
  <c r="N584" i="4"/>
  <c r="N583" i="4"/>
  <c r="N582" i="4"/>
  <c r="N581" i="4"/>
  <c r="N580" i="4"/>
  <c r="N579" i="4"/>
  <c r="N578" i="4"/>
  <c r="N577" i="4"/>
  <c r="N576" i="4"/>
  <c r="N575" i="4"/>
  <c r="N574" i="4"/>
  <c r="N573" i="4"/>
  <c r="N572" i="4"/>
  <c r="N571" i="4"/>
  <c r="N570" i="4"/>
  <c r="N569" i="4"/>
  <c r="N568" i="4"/>
  <c r="N567" i="4"/>
  <c r="N566" i="4"/>
  <c r="N565" i="4"/>
  <c r="N564" i="4"/>
  <c r="N563" i="4"/>
  <c r="N562" i="4"/>
  <c r="N561" i="4"/>
  <c r="N560" i="4"/>
  <c r="N559" i="4"/>
  <c r="N558" i="4"/>
  <c r="N557" i="4"/>
  <c r="N556" i="4"/>
  <c r="N555" i="4"/>
  <c r="N554" i="4"/>
  <c r="N553" i="4"/>
  <c r="N552" i="4"/>
  <c r="N551" i="4"/>
  <c r="N550" i="4"/>
  <c r="N549" i="4"/>
  <c r="N548" i="4"/>
  <c r="N547" i="4"/>
  <c r="N546" i="4"/>
  <c r="N545" i="4"/>
  <c r="N544" i="4"/>
  <c r="N543" i="4"/>
  <c r="N542" i="4"/>
  <c r="N541" i="4"/>
  <c r="N540" i="4"/>
  <c r="N539" i="4"/>
  <c r="N538" i="4"/>
  <c r="N537" i="4"/>
  <c r="N536" i="4"/>
  <c r="N535" i="4"/>
  <c r="N534" i="4"/>
  <c r="N533" i="4"/>
  <c r="N532" i="4"/>
  <c r="N531" i="4"/>
  <c r="N530" i="4"/>
  <c r="N529" i="4"/>
  <c r="N528" i="4"/>
  <c r="N527" i="4"/>
  <c r="N526" i="4"/>
  <c r="N525" i="4"/>
  <c r="N524" i="4"/>
  <c r="N523" i="4"/>
  <c r="N522" i="4"/>
  <c r="N521" i="4"/>
  <c r="N520" i="4"/>
  <c r="N519" i="4"/>
  <c r="N518" i="4"/>
  <c r="N517" i="4"/>
  <c r="N516" i="4"/>
  <c r="N515" i="4"/>
  <c r="N514" i="4"/>
  <c r="N513" i="4"/>
  <c r="N512" i="4"/>
  <c r="N511" i="4"/>
  <c r="N510" i="4"/>
  <c r="N509" i="4"/>
  <c r="N508" i="4"/>
  <c r="N507" i="4"/>
  <c r="N506" i="4"/>
  <c r="N505" i="4"/>
  <c r="N504" i="4"/>
  <c r="N503" i="4"/>
  <c r="N502" i="4"/>
  <c r="N501" i="4"/>
  <c r="N500" i="4"/>
  <c r="N499" i="4"/>
  <c r="N498" i="4"/>
  <c r="N497" i="4"/>
  <c r="N496" i="4"/>
  <c r="N495" i="4"/>
  <c r="N494" i="4"/>
  <c r="N493" i="4"/>
  <c r="N492" i="4"/>
  <c r="N491" i="4"/>
  <c r="N490" i="4"/>
  <c r="N489" i="4"/>
  <c r="N488" i="4"/>
  <c r="N487" i="4"/>
  <c r="N486" i="4"/>
  <c r="N485" i="4"/>
  <c r="N484" i="4"/>
  <c r="N483" i="4"/>
  <c r="N482" i="4"/>
  <c r="N481" i="4"/>
  <c r="N480" i="4"/>
  <c r="N479" i="4"/>
  <c r="N478" i="4"/>
  <c r="N477" i="4"/>
  <c r="N476" i="4"/>
  <c r="N475" i="4"/>
  <c r="N474" i="4"/>
  <c r="N473" i="4"/>
  <c r="N472" i="4"/>
  <c r="N471" i="4"/>
  <c r="N470" i="4"/>
  <c r="N469" i="4"/>
  <c r="N468" i="4"/>
  <c r="N467" i="4"/>
  <c r="N466" i="4"/>
  <c r="N465" i="4"/>
  <c r="N464" i="4"/>
  <c r="N463" i="4"/>
  <c r="N462" i="4"/>
  <c r="N461" i="4"/>
  <c r="N460" i="4"/>
  <c r="N459" i="4"/>
  <c r="N458" i="4"/>
  <c r="N457" i="4"/>
  <c r="N456" i="4"/>
  <c r="N455" i="4"/>
  <c r="N454" i="4"/>
  <c r="N453" i="4"/>
  <c r="N452" i="4"/>
  <c r="N451" i="4"/>
  <c r="N450" i="4"/>
  <c r="N449" i="4"/>
  <c r="N448" i="4"/>
  <c r="N447" i="4"/>
  <c r="N446" i="4"/>
  <c r="N445" i="4"/>
  <c r="N444" i="4"/>
  <c r="N443" i="4"/>
  <c r="N442" i="4"/>
  <c r="N441" i="4"/>
  <c r="N440" i="4"/>
  <c r="N439" i="4"/>
  <c r="N438" i="4"/>
  <c r="N437" i="4"/>
  <c r="N436" i="4"/>
  <c r="N435" i="4"/>
  <c r="N434" i="4"/>
  <c r="N433" i="4"/>
  <c r="N432" i="4"/>
  <c r="N431" i="4"/>
  <c r="N430" i="4"/>
  <c r="N429" i="4"/>
  <c r="N428" i="4"/>
  <c r="N427" i="4"/>
  <c r="N426" i="4"/>
  <c r="N425" i="4"/>
  <c r="N424" i="4"/>
  <c r="N423" i="4"/>
  <c r="N422" i="4"/>
  <c r="N421" i="4"/>
  <c r="N420" i="4"/>
  <c r="N419" i="4"/>
  <c r="N418" i="4"/>
  <c r="N417" i="4"/>
  <c r="N416" i="4"/>
  <c r="N415" i="4"/>
  <c r="N414" i="4"/>
  <c r="N413" i="4"/>
  <c r="N412" i="4"/>
  <c r="N411" i="4"/>
  <c r="N410" i="4"/>
  <c r="N409" i="4"/>
  <c r="N408" i="4"/>
  <c r="N407" i="4"/>
  <c r="N406" i="4"/>
  <c r="N405" i="4"/>
  <c r="N404" i="4"/>
  <c r="N403" i="4"/>
  <c r="N402" i="4"/>
  <c r="N401" i="4"/>
  <c r="N400" i="4"/>
  <c r="N399" i="4"/>
  <c r="N398" i="4"/>
  <c r="N397" i="4"/>
  <c r="N396" i="4"/>
  <c r="N395" i="4"/>
  <c r="N394" i="4"/>
  <c r="N393" i="4"/>
  <c r="N392" i="4"/>
  <c r="N391" i="4"/>
  <c r="N390" i="4"/>
  <c r="N389" i="4"/>
  <c r="N388" i="4"/>
  <c r="N387" i="4"/>
  <c r="N386" i="4"/>
  <c r="N385" i="4"/>
  <c r="N384" i="4"/>
  <c r="N383" i="4"/>
  <c r="N382" i="4"/>
  <c r="N381" i="4"/>
  <c r="N380" i="4"/>
  <c r="N379" i="4"/>
  <c r="N378" i="4"/>
  <c r="N377" i="4"/>
  <c r="N376" i="4"/>
  <c r="N375" i="4"/>
  <c r="N374" i="4"/>
  <c r="N373" i="4"/>
  <c r="N372" i="4"/>
  <c r="N371" i="4"/>
  <c r="N370" i="4"/>
  <c r="N369" i="4"/>
  <c r="N368" i="4"/>
  <c r="N367" i="4"/>
  <c r="N366" i="4"/>
  <c r="N365" i="4"/>
  <c r="N364" i="4"/>
  <c r="N363" i="4"/>
  <c r="N362" i="4"/>
  <c r="N361" i="4"/>
  <c r="N360" i="4"/>
  <c r="N359" i="4"/>
  <c r="N358" i="4"/>
  <c r="N357" i="4"/>
  <c r="N356" i="4"/>
  <c r="N355" i="4"/>
  <c r="N354" i="4"/>
  <c r="N353" i="4"/>
  <c r="N352" i="4"/>
  <c r="N351" i="4"/>
  <c r="N350" i="4"/>
  <c r="N349" i="4"/>
  <c r="N348" i="4"/>
  <c r="N347" i="4"/>
  <c r="N346" i="4"/>
  <c r="N345" i="4"/>
  <c r="N344" i="4"/>
  <c r="N343" i="4"/>
  <c r="N342" i="4"/>
  <c r="N341" i="4"/>
  <c r="N340" i="4"/>
  <c r="N339" i="4"/>
  <c r="N338" i="4"/>
  <c r="N337" i="4"/>
  <c r="N336" i="4"/>
  <c r="N335" i="4"/>
  <c r="N334" i="4"/>
  <c r="N333" i="4"/>
  <c r="N332" i="4"/>
  <c r="N331" i="4"/>
  <c r="N330" i="4"/>
  <c r="N329" i="4"/>
  <c r="N328" i="4"/>
  <c r="N327" i="4"/>
  <c r="N326" i="4"/>
  <c r="N325" i="4"/>
  <c r="N324" i="4"/>
  <c r="N323" i="4"/>
  <c r="N322" i="4"/>
  <c r="N321" i="4"/>
  <c r="N320" i="4"/>
  <c r="N319" i="4"/>
  <c r="N318" i="4"/>
  <c r="N317" i="4"/>
  <c r="N316" i="4"/>
  <c r="N315" i="4"/>
  <c r="N314" i="4"/>
  <c r="N313" i="4"/>
  <c r="N312" i="4"/>
  <c r="N311" i="4"/>
  <c r="N310" i="4"/>
  <c r="N309" i="4"/>
  <c r="N308" i="4"/>
  <c r="N307" i="4"/>
  <c r="N306" i="4"/>
  <c r="N305" i="4"/>
  <c r="N304" i="4"/>
  <c r="N303" i="4"/>
  <c r="N302" i="4"/>
  <c r="N301" i="4"/>
  <c r="N300" i="4"/>
  <c r="N299" i="4"/>
  <c r="N298" i="4"/>
  <c r="N297" i="4"/>
  <c r="N296" i="4"/>
  <c r="N295" i="4"/>
  <c r="N294" i="4"/>
  <c r="N293" i="4"/>
  <c r="N292" i="4"/>
  <c r="N291" i="4"/>
  <c r="N290" i="4"/>
  <c r="N289" i="4"/>
  <c r="N288" i="4"/>
  <c r="N287" i="4"/>
  <c r="N286" i="4"/>
  <c r="N285" i="4"/>
  <c r="N284" i="4"/>
  <c r="N283" i="4"/>
  <c r="N282" i="4"/>
  <c r="N281" i="4"/>
  <c r="N280" i="4"/>
  <c r="N279" i="4"/>
  <c r="N278" i="4"/>
  <c r="N277" i="4"/>
  <c r="N276" i="4"/>
  <c r="N275" i="4"/>
  <c r="N274" i="4"/>
  <c r="N273" i="4"/>
  <c r="N272" i="4"/>
  <c r="N271" i="4"/>
  <c r="N270" i="4"/>
  <c r="N269" i="4"/>
  <c r="N268" i="4"/>
  <c r="N267" i="4"/>
  <c r="N266" i="4"/>
  <c r="N265" i="4"/>
  <c r="N264" i="4"/>
  <c r="N263" i="4"/>
  <c r="N262" i="4"/>
  <c r="N261" i="4"/>
  <c r="N260" i="4"/>
  <c r="N259" i="4"/>
  <c r="N258" i="4"/>
  <c r="N257" i="4"/>
  <c r="N256" i="4"/>
  <c r="N255" i="4"/>
  <c r="N254" i="4"/>
  <c r="N253" i="4"/>
  <c r="N252" i="4"/>
  <c r="N251" i="4"/>
  <c r="N250" i="4"/>
  <c r="N249" i="4"/>
  <c r="N248" i="4"/>
  <c r="N247" i="4"/>
  <c r="N246" i="4"/>
  <c r="N245" i="4"/>
  <c r="N244" i="4"/>
  <c r="N243" i="4"/>
  <c r="N242" i="4"/>
  <c r="N241" i="4"/>
  <c r="N240" i="4"/>
  <c r="N239" i="4"/>
  <c r="N238" i="4"/>
  <c r="N237" i="4"/>
  <c r="N236" i="4"/>
  <c r="N235" i="4"/>
  <c r="N234" i="4"/>
  <c r="N233" i="4"/>
  <c r="N232" i="4"/>
  <c r="N231" i="4"/>
  <c r="N230" i="4"/>
  <c r="N229" i="4"/>
  <c r="N228" i="4"/>
  <c r="N227" i="4"/>
  <c r="N226" i="4"/>
  <c r="N225" i="4"/>
  <c r="N224" i="4"/>
  <c r="N223" i="4"/>
  <c r="N222" i="4"/>
  <c r="N221" i="4"/>
  <c r="N220" i="4"/>
  <c r="N219" i="4"/>
  <c r="N218" i="4"/>
  <c r="N217" i="4"/>
  <c r="N216" i="4"/>
  <c r="N215" i="4"/>
  <c r="N214" i="4"/>
  <c r="N213" i="4"/>
  <c r="N212" i="4"/>
  <c r="N211" i="4"/>
  <c r="N210" i="4"/>
  <c r="N209" i="4"/>
  <c r="N208" i="4"/>
  <c r="N207" i="4"/>
  <c r="N206" i="4"/>
  <c r="N205" i="4"/>
  <c r="N204" i="4"/>
  <c r="N203" i="4"/>
  <c r="N202" i="4"/>
  <c r="N201" i="4"/>
  <c r="N200" i="4"/>
  <c r="N199" i="4"/>
  <c r="N198" i="4"/>
  <c r="N197" i="4"/>
  <c r="N196" i="4"/>
  <c r="N195" i="4"/>
  <c r="N194" i="4"/>
  <c r="N193" i="4"/>
  <c r="N192" i="4"/>
  <c r="N191" i="4"/>
  <c r="N190" i="4"/>
  <c r="N189" i="4"/>
  <c r="N188" i="4"/>
  <c r="N187" i="4"/>
  <c r="N186" i="4"/>
  <c r="N185" i="4"/>
  <c r="N184" i="4"/>
  <c r="N183" i="4"/>
  <c r="N182" i="4"/>
  <c r="N181" i="4"/>
  <c r="N180" i="4"/>
  <c r="N179" i="4"/>
  <c r="N178" i="4"/>
  <c r="N177"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Y601" i="4" l="1"/>
  <c r="AA601" i="4" s="1"/>
  <c r="AG601" i="4"/>
  <c r="AP601" i="4"/>
  <c r="AN601" i="4"/>
  <c r="AO601" i="4"/>
  <c r="Y600" i="4"/>
  <c r="AA600" i="4" s="1"/>
  <c r="AB600" i="4"/>
  <c r="B12" i="20"/>
  <c r="F12" i="20"/>
  <c r="G12" i="20"/>
  <c r="E12" i="20"/>
  <c r="C12" i="20"/>
  <c r="T19" i="4"/>
  <c r="R19" i="4"/>
  <c r="U19" i="4"/>
  <c r="V19" i="4"/>
  <c r="W19" i="4"/>
  <c r="AK39" i="4"/>
  <c r="AJ39" i="4"/>
  <c r="AI39" i="4"/>
  <c r="AH39" i="4"/>
  <c r="AF39" i="4"/>
  <c r="AE39" i="4"/>
  <c r="AK40" i="4"/>
  <c r="AJ40" i="4"/>
  <c r="AI40" i="4"/>
  <c r="AH40" i="4"/>
  <c r="AF40" i="4"/>
  <c r="AE40" i="4"/>
  <c r="AK41" i="4"/>
  <c r="AJ41" i="4"/>
  <c r="AI41" i="4"/>
  <c r="AH41" i="4"/>
  <c r="AF41" i="4"/>
  <c r="AE41" i="4"/>
  <c r="AK42" i="4"/>
  <c r="AJ42" i="4"/>
  <c r="AI42" i="4"/>
  <c r="AH42" i="4"/>
  <c r="AF42" i="4"/>
  <c r="AE42" i="4"/>
  <c r="AK43" i="4"/>
  <c r="AJ43" i="4"/>
  <c r="AI43" i="4"/>
  <c r="AH43" i="4"/>
  <c r="AF43" i="4"/>
  <c r="AE43" i="4"/>
  <c r="AK44" i="4"/>
  <c r="AJ44" i="4"/>
  <c r="AI44" i="4"/>
  <c r="AH44" i="4"/>
  <c r="AF44" i="4"/>
  <c r="AE44" i="4"/>
  <c r="AK45" i="4"/>
  <c r="AJ45" i="4"/>
  <c r="AI45" i="4"/>
  <c r="AH45" i="4"/>
  <c r="AF45" i="4"/>
  <c r="AE45" i="4"/>
  <c r="AK46" i="4"/>
  <c r="AJ46" i="4"/>
  <c r="AI46" i="4"/>
  <c r="AH46" i="4"/>
  <c r="AF46" i="4"/>
  <c r="AE46" i="4"/>
  <c r="AK47" i="4"/>
  <c r="AJ47" i="4"/>
  <c r="AI47" i="4"/>
  <c r="AH47" i="4"/>
  <c r="AF47" i="4"/>
  <c r="AE47" i="4"/>
  <c r="AK48" i="4"/>
  <c r="AJ48" i="4"/>
  <c r="AI48" i="4"/>
  <c r="AH48" i="4"/>
  <c r="AF48" i="4"/>
  <c r="AE48" i="4"/>
  <c r="AK49" i="4"/>
  <c r="AJ49" i="4"/>
  <c r="AI49" i="4"/>
  <c r="AH49" i="4"/>
  <c r="AF49" i="4"/>
  <c r="AE49" i="4"/>
  <c r="AK50" i="4"/>
  <c r="AJ50" i="4"/>
  <c r="AI50" i="4"/>
  <c r="AH50" i="4"/>
  <c r="AF50" i="4"/>
  <c r="AE50" i="4"/>
  <c r="AK51" i="4"/>
  <c r="AJ51" i="4"/>
  <c r="AI51" i="4"/>
  <c r="AH51" i="4"/>
  <c r="AF51" i="4"/>
  <c r="AE51" i="4"/>
  <c r="AK52" i="4"/>
  <c r="AJ52" i="4"/>
  <c r="AI52" i="4"/>
  <c r="AH52" i="4"/>
  <c r="AF52" i="4"/>
  <c r="AE52" i="4"/>
  <c r="AK53" i="4"/>
  <c r="AJ53" i="4"/>
  <c r="AI53" i="4"/>
  <c r="AH53" i="4"/>
  <c r="AF53" i="4"/>
  <c r="AE53" i="4"/>
  <c r="AK54" i="4"/>
  <c r="AJ54" i="4"/>
  <c r="AI54" i="4"/>
  <c r="AH54" i="4"/>
  <c r="AF54" i="4"/>
  <c r="AE54" i="4"/>
  <c r="AK55" i="4"/>
  <c r="AJ55" i="4"/>
  <c r="AI55" i="4"/>
  <c r="AH55" i="4"/>
  <c r="AF55" i="4"/>
  <c r="AE55" i="4"/>
  <c r="AK56" i="4"/>
  <c r="AJ56" i="4"/>
  <c r="AI56" i="4"/>
  <c r="AH56" i="4"/>
  <c r="AF56" i="4"/>
  <c r="AE56" i="4"/>
  <c r="AK57" i="4"/>
  <c r="AJ57" i="4"/>
  <c r="AI57" i="4"/>
  <c r="AH57" i="4"/>
  <c r="AF57" i="4"/>
  <c r="AE57" i="4"/>
  <c r="AK58" i="4"/>
  <c r="AJ58" i="4"/>
  <c r="AI58" i="4"/>
  <c r="AH58" i="4"/>
  <c r="AF58" i="4"/>
  <c r="AE58" i="4"/>
  <c r="AK59" i="4"/>
  <c r="AJ59" i="4"/>
  <c r="AI59" i="4"/>
  <c r="AH59" i="4"/>
  <c r="AF59" i="4"/>
  <c r="AE59" i="4"/>
  <c r="AK60" i="4"/>
  <c r="AJ60" i="4"/>
  <c r="AI60" i="4"/>
  <c r="AH60" i="4"/>
  <c r="AF60" i="4"/>
  <c r="AE60" i="4"/>
  <c r="AK61" i="4"/>
  <c r="AJ61" i="4"/>
  <c r="AI61" i="4"/>
  <c r="AH61" i="4"/>
  <c r="AF61" i="4"/>
  <c r="AE61" i="4"/>
  <c r="AK62" i="4"/>
  <c r="AJ62" i="4"/>
  <c r="AI62" i="4"/>
  <c r="AH62" i="4"/>
  <c r="AF62" i="4"/>
  <c r="AE62" i="4"/>
  <c r="AK63" i="4"/>
  <c r="AJ63" i="4"/>
  <c r="AI63" i="4"/>
  <c r="AH63" i="4"/>
  <c r="AF63" i="4"/>
  <c r="AE63" i="4"/>
  <c r="AK64" i="4"/>
  <c r="AJ64" i="4"/>
  <c r="AI64" i="4"/>
  <c r="AH64" i="4"/>
  <c r="AF64" i="4"/>
  <c r="AE64" i="4"/>
  <c r="AK65" i="4"/>
  <c r="AJ65" i="4"/>
  <c r="AI65" i="4"/>
  <c r="AH65" i="4"/>
  <c r="AF65" i="4"/>
  <c r="AE65" i="4"/>
  <c r="AK66" i="4"/>
  <c r="AJ66" i="4"/>
  <c r="AI66" i="4"/>
  <c r="AH66" i="4"/>
  <c r="AF66" i="4"/>
  <c r="AE66" i="4"/>
  <c r="AK67" i="4"/>
  <c r="AJ67" i="4"/>
  <c r="AI67" i="4"/>
  <c r="AH67" i="4"/>
  <c r="AF67" i="4"/>
  <c r="AE67" i="4"/>
  <c r="AK68" i="4"/>
  <c r="AJ68" i="4"/>
  <c r="AI68" i="4"/>
  <c r="AH68" i="4"/>
  <c r="AF68" i="4"/>
  <c r="AE68" i="4"/>
  <c r="AK69" i="4"/>
  <c r="AJ69" i="4"/>
  <c r="AI69" i="4"/>
  <c r="AH69" i="4"/>
  <c r="AF69" i="4"/>
  <c r="AE69" i="4"/>
  <c r="AK70" i="4"/>
  <c r="AJ70" i="4"/>
  <c r="AI70" i="4"/>
  <c r="AH70" i="4"/>
  <c r="AF70" i="4"/>
  <c r="AE70" i="4"/>
  <c r="AK71" i="4"/>
  <c r="AJ71" i="4"/>
  <c r="AI71" i="4"/>
  <c r="AH71" i="4"/>
  <c r="AF71" i="4"/>
  <c r="AE71" i="4"/>
  <c r="AK72" i="4"/>
  <c r="AJ72" i="4"/>
  <c r="AI72" i="4"/>
  <c r="AH72" i="4"/>
  <c r="AF72" i="4"/>
  <c r="AE72" i="4"/>
  <c r="AK73" i="4"/>
  <c r="AJ73" i="4"/>
  <c r="AI73" i="4"/>
  <c r="AH73" i="4"/>
  <c r="AF73" i="4"/>
  <c r="AE73" i="4"/>
  <c r="AK74" i="4"/>
  <c r="AJ74" i="4"/>
  <c r="AI74" i="4"/>
  <c r="AH74" i="4"/>
  <c r="AF74" i="4"/>
  <c r="AE74" i="4"/>
  <c r="AK75" i="4"/>
  <c r="AJ75" i="4"/>
  <c r="AI75" i="4"/>
  <c r="AH75" i="4"/>
  <c r="AF75" i="4"/>
  <c r="AE75" i="4"/>
  <c r="AK76" i="4"/>
  <c r="AJ76" i="4"/>
  <c r="AI76" i="4"/>
  <c r="AH76" i="4"/>
  <c r="AF76" i="4"/>
  <c r="AE76" i="4"/>
  <c r="AK77" i="4"/>
  <c r="AJ77" i="4"/>
  <c r="AI77" i="4"/>
  <c r="AH77" i="4"/>
  <c r="AF77" i="4"/>
  <c r="AE77" i="4"/>
  <c r="AK78" i="4"/>
  <c r="AJ78" i="4"/>
  <c r="AI78" i="4"/>
  <c r="AH78" i="4"/>
  <c r="AF78" i="4"/>
  <c r="AE78" i="4"/>
  <c r="AK79" i="4"/>
  <c r="AJ79" i="4"/>
  <c r="AI79" i="4"/>
  <c r="AH79" i="4"/>
  <c r="AF79" i="4"/>
  <c r="AE79" i="4"/>
  <c r="AK80" i="4"/>
  <c r="AJ80" i="4"/>
  <c r="AI80" i="4"/>
  <c r="AH80" i="4"/>
  <c r="AF80" i="4"/>
  <c r="AE80" i="4"/>
  <c r="AK81" i="4"/>
  <c r="AJ81" i="4"/>
  <c r="AI81" i="4"/>
  <c r="AH81" i="4"/>
  <c r="AF81" i="4"/>
  <c r="AE81" i="4"/>
  <c r="AK82" i="4"/>
  <c r="AJ82" i="4"/>
  <c r="AI82" i="4"/>
  <c r="AH82" i="4"/>
  <c r="AF82" i="4"/>
  <c r="AE82" i="4"/>
  <c r="AK83" i="4"/>
  <c r="AJ83" i="4"/>
  <c r="AI83" i="4"/>
  <c r="AH83" i="4"/>
  <c r="AF83" i="4"/>
  <c r="AE83" i="4"/>
  <c r="AK84" i="4"/>
  <c r="AJ84" i="4"/>
  <c r="AI84" i="4"/>
  <c r="AH84" i="4"/>
  <c r="AF84" i="4"/>
  <c r="AE84" i="4"/>
  <c r="AK85" i="4"/>
  <c r="AJ85" i="4"/>
  <c r="AI85" i="4"/>
  <c r="AH85" i="4"/>
  <c r="AF85" i="4"/>
  <c r="AE85" i="4"/>
  <c r="AK86" i="4"/>
  <c r="AJ86" i="4"/>
  <c r="AI86" i="4"/>
  <c r="AH86" i="4"/>
  <c r="AF86" i="4"/>
  <c r="AE86" i="4"/>
  <c r="AK87" i="4"/>
  <c r="AJ87" i="4"/>
  <c r="AI87" i="4"/>
  <c r="AH87" i="4"/>
  <c r="AF87" i="4"/>
  <c r="AE87" i="4"/>
  <c r="AK88" i="4"/>
  <c r="AJ88" i="4"/>
  <c r="AI88" i="4"/>
  <c r="AH88" i="4"/>
  <c r="AF88" i="4"/>
  <c r="AE88" i="4"/>
  <c r="AK89" i="4"/>
  <c r="AJ89" i="4"/>
  <c r="AI89" i="4"/>
  <c r="AH89" i="4"/>
  <c r="AF89" i="4"/>
  <c r="AE89" i="4"/>
  <c r="AK90" i="4"/>
  <c r="AJ90" i="4"/>
  <c r="AI90" i="4"/>
  <c r="AH90" i="4"/>
  <c r="AF90" i="4"/>
  <c r="AE90" i="4"/>
  <c r="AK91" i="4"/>
  <c r="AJ91" i="4"/>
  <c r="AI91" i="4"/>
  <c r="AH91" i="4"/>
  <c r="AF91" i="4"/>
  <c r="AE91" i="4"/>
  <c r="AK92" i="4"/>
  <c r="AJ92" i="4"/>
  <c r="AI92" i="4"/>
  <c r="AH92" i="4"/>
  <c r="AF92" i="4"/>
  <c r="AE92" i="4"/>
  <c r="AK93" i="4"/>
  <c r="AJ93" i="4"/>
  <c r="AI93" i="4"/>
  <c r="AH93" i="4"/>
  <c r="AF93" i="4"/>
  <c r="AE93" i="4"/>
  <c r="AK94" i="4"/>
  <c r="AJ94" i="4"/>
  <c r="AI94" i="4"/>
  <c r="AH94" i="4"/>
  <c r="AF94" i="4"/>
  <c r="AE94" i="4"/>
  <c r="AK95" i="4"/>
  <c r="AJ95" i="4"/>
  <c r="AI95" i="4"/>
  <c r="AH95" i="4"/>
  <c r="AF95" i="4"/>
  <c r="AE95" i="4"/>
  <c r="AK96" i="4"/>
  <c r="AJ96" i="4"/>
  <c r="AI96" i="4"/>
  <c r="AH96" i="4"/>
  <c r="AF96" i="4"/>
  <c r="AE96" i="4"/>
  <c r="AK97" i="4"/>
  <c r="AJ97" i="4"/>
  <c r="AI97" i="4"/>
  <c r="AH97" i="4"/>
  <c r="AF97" i="4"/>
  <c r="AE97" i="4"/>
  <c r="AK98" i="4"/>
  <c r="AJ98" i="4"/>
  <c r="AI98" i="4"/>
  <c r="AH98" i="4"/>
  <c r="AF98" i="4"/>
  <c r="AE98" i="4"/>
  <c r="AK99" i="4"/>
  <c r="AJ99" i="4"/>
  <c r="AI99" i="4"/>
  <c r="AH99" i="4"/>
  <c r="AF99" i="4"/>
  <c r="AE99" i="4"/>
  <c r="AK100" i="4"/>
  <c r="AJ100" i="4"/>
  <c r="AI100" i="4"/>
  <c r="AH100" i="4"/>
  <c r="AF100" i="4"/>
  <c r="AE100" i="4"/>
  <c r="AK101" i="4"/>
  <c r="AJ101" i="4"/>
  <c r="AI101" i="4"/>
  <c r="AH101" i="4"/>
  <c r="AF101" i="4"/>
  <c r="AE101" i="4"/>
  <c r="AK102" i="4"/>
  <c r="AJ102" i="4"/>
  <c r="AI102" i="4"/>
  <c r="AH102" i="4"/>
  <c r="AF102" i="4"/>
  <c r="AE102" i="4"/>
  <c r="AK103" i="4"/>
  <c r="AJ103" i="4"/>
  <c r="AI103" i="4"/>
  <c r="AH103" i="4"/>
  <c r="AF103" i="4"/>
  <c r="AE103" i="4"/>
  <c r="AK104" i="4"/>
  <c r="AJ104" i="4"/>
  <c r="AI104" i="4"/>
  <c r="AH104" i="4"/>
  <c r="AF104" i="4"/>
  <c r="AE104" i="4"/>
  <c r="AK105" i="4"/>
  <c r="AJ105" i="4"/>
  <c r="AI105" i="4"/>
  <c r="AH105" i="4"/>
  <c r="AF105" i="4"/>
  <c r="AE105" i="4"/>
  <c r="AK106" i="4"/>
  <c r="AJ106" i="4"/>
  <c r="AI106" i="4"/>
  <c r="AH106" i="4"/>
  <c r="AF106" i="4"/>
  <c r="AE106" i="4"/>
  <c r="AK107" i="4"/>
  <c r="AJ107" i="4"/>
  <c r="AI107" i="4"/>
  <c r="AH107" i="4"/>
  <c r="AF107" i="4"/>
  <c r="AE107" i="4"/>
  <c r="AK108" i="4"/>
  <c r="AJ108" i="4"/>
  <c r="AI108" i="4"/>
  <c r="AH108" i="4"/>
  <c r="AF108" i="4"/>
  <c r="AE108" i="4"/>
  <c r="AK109" i="4"/>
  <c r="AJ109" i="4"/>
  <c r="AI109" i="4"/>
  <c r="AH109" i="4"/>
  <c r="AF109" i="4"/>
  <c r="AE109" i="4"/>
  <c r="AK110" i="4"/>
  <c r="AJ110" i="4"/>
  <c r="AI110" i="4"/>
  <c r="AH110" i="4"/>
  <c r="AF110" i="4"/>
  <c r="AE110" i="4"/>
  <c r="AK111" i="4"/>
  <c r="AJ111" i="4"/>
  <c r="AI111" i="4"/>
  <c r="AH111" i="4"/>
  <c r="AF111" i="4"/>
  <c r="AE111" i="4"/>
  <c r="AK112" i="4"/>
  <c r="AJ112" i="4"/>
  <c r="AI112" i="4"/>
  <c r="AH112" i="4"/>
  <c r="AF112" i="4"/>
  <c r="AE112" i="4"/>
  <c r="AK113" i="4"/>
  <c r="AJ113" i="4"/>
  <c r="AI113" i="4"/>
  <c r="AH113" i="4"/>
  <c r="AF113" i="4"/>
  <c r="AE113" i="4"/>
  <c r="AK114" i="4"/>
  <c r="AJ114" i="4"/>
  <c r="AI114" i="4"/>
  <c r="AH114" i="4"/>
  <c r="AF114" i="4"/>
  <c r="AE114" i="4"/>
  <c r="AK115" i="4"/>
  <c r="AJ115" i="4"/>
  <c r="AI115" i="4"/>
  <c r="AH115" i="4"/>
  <c r="AF115" i="4"/>
  <c r="AE115" i="4"/>
  <c r="AK116" i="4"/>
  <c r="AJ116" i="4"/>
  <c r="AI116" i="4"/>
  <c r="AH116" i="4"/>
  <c r="AF116" i="4"/>
  <c r="AE116" i="4"/>
  <c r="AK117" i="4"/>
  <c r="AJ117" i="4"/>
  <c r="AI117" i="4"/>
  <c r="AH117" i="4"/>
  <c r="AF117" i="4"/>
  <c r="AE117" i="4"/>
  <c r="AK118" i="4"/>
  <c r="AJ118" i="4"/>
  <c r="AI118" i="4"/>
  <c r="AH118" i="4"/>
  <c r="AF118" i="4"/>
  <c r="AE118" i="4"/>
  <c r="AK119" i="4"/>
  <c r="AJ119" i="4"/>
  <c r="AI119" i="4"/>
  <c r="AH119" i="4"/>
  <c r="AF119" i="4"/>
  <c r="AE119" i="4"/>
  <c r="AK120" i="4"/>
  <c r="AJ120" i="4"/>
  <c r="AI120" i="4"/>
  <c r="AH120" i="4"/>
  <c r="AF120" i="4"/>
  <c r="AE120" i="4"/>
  <c r="AK121" i="4"/>
  <c r="AJ121" i="4"/>
  <c r="AI121" i="4"/>
  <c r="AH121" i="4"/>
  <c r="AF121" i="4"/>
  <c r="AE121" i="4"/>
  <c r="AK122" i="4"/>
  <c r="AJ122" i="4"/>
  <c r="AI122" i="4"/>
  <c r="AH122" i="4"/>
  <c r="AF122" i="4"/>
  <c r="AE122" i="4"/>
  <c r="AK123" i="4"/>
  <c r="AJ123" i="4"/>
  <c r="AI123" i="4"/>
  <c r="AH123" i="4"/>
  <c r="AF123" i="4"/>
  <c r="AE123" i="4"/>
  <c r="AK124" i="4"/>
  <c r="AJ124" i="4"/>
  <c r="AI124" i="4"/>
  <c r="AH124" i="4"/>
  <c r="AF124" i="4"/>
  <c r="AE124" i="4"/>
  <c r="AK125" i="4"/>
  <c r="AJ125" i="4"/>
  <c r="AI125" i="4"/>
  <c r="AH125" i="4"/>
  <c r="AF125" i="4"/>
  <c r="AE125" i="4"/>
  <c r="AK126" i="4"/>
  <c r="AJ126" i="4"/>
  <c r="AI126" i="4"/>
  <c r="AH126" i="4"/>
  <c r="AF126" i="4"/>
  <c r="AE126" i="4"/>
  <c r="AK127" i="4"/>
  <c r="AJ127" i="4"/>
  <c r="AI127" i="4"/>
  <c r="AH127" i="4"/>
  <c r="AF127" i="4"/>
  <c r="AE127" i="4"/>
  <c r="AK128" i="4"/>
  <c r="AJ128" i="4"/>
  <c r="AI128" i="4"/>
  <c r="AH128" i="4"/>
  <c r="AF128" i="4"/>
  <c r="AE128" i="4"/>
  <c r="AK129" i="4"/>
  <c r="AJ129" i="4"/>
  <c r="AI129" i="4"/>
  <c r="AH129" i="4"/>
  <c r="AF129" i="4"/>
  <c r="AE129" i="4"/>
  <c r="AK130" i="4"/>
  <c r="AJ130" i="4"/>
  <c r="AI130" i="4"/>
  <c r="AH130" i="4"/>
  <c r="AF130" i="4"/>
  <c r="AE130" i="4"/>
  <c r="AK131" i="4"/>
  <c r="AJ131" i="4"/>
  <c r="AI131" i="4"/>
  <c r="AH131" i="4"/>
  <c r="AF131" i="4"/>
  <c r="AE131" i="4"/>
  <c r="AK132" i="4"/>
  <c r="AJ132" i="4"/>
  <c r="AI132" i="4"/>
  <c r="AH132" i="4"/>
  <c r="AF132" i="4"/>
  <c r="AE132" i="4"/>
  <c r="AK133" i="4"/>
  <c r="AJ133" i="4"/>
  <c r="AI133" i="4"/>
  <c r="AH133" i="4"/>
  <c r="AF133" i="4"/>
  <c r="AE133" i="4"/>
  <c r="AK134" i="4"/>
  <c r="AJ134" i="4"/>
  <c r="AI134" i="4"/>
  <c r="AH134" i="4"/>
  <c r="AF134" i="4"/>
  <c r="AE134" i="4"/>
  <c r="AK135" i="4"/>
  <c r="AJ135" i="4"/>
  <c r="AI135" i="4"/>
  <c r="AH135" i="4"/>
  <c r="AF135" i="4"/>
  <c r="AE135" i="4"/>
  <c r="AK136" i="4"/>
  <c r="AJ136" i="4"/>
  <c r="AI136" i="4"/>
  <c r="AH136" i="4"/>
  <c r="AF136" i="4"/>
  <c r="AE136" i="4"/>
  <c r="AK137" i="4"/>
  <c r="AJ137" i="4"/>
  <c r="AI137" i="4"/>
  <c r="AH137" i="4"/>
  <c r="AF137" i="4"/>
  <c r="AE137" i="4"/>
  <c r="AK138" i="4"/>
  <c r="AJ138" i="4"/>
  <c r="AI138" i="4"/>
  <c r="AH138" i="4"/>
  <c r="AF138" i="4"/>
  <c r="AE138" i="4"/>
  <c r="AK139" i="4"/>
  <c r="AJ139" i="4"/>
  <c r="AI139" i="4"/>
  <c r="AH139" i="4"/>
  <c r="AF139" i="4"/>
  <c r="AE139" i="4"/>
  <c r="AK140" i="4"/>
  <c r="AJ140" i="4"/>
  <c r="AI140" i="4"/>
  <c r="AH140" i="4"/>
  <c r="AF140" i="4"/>
  <c r="AE140" i="4"/>
  <c r="AK141" i="4"/>
  <c r="AJ141" i="4"/>
  <c r="AI141" i="4"/>
  <c r="AH141" i="4"/>
  <c r="AF141" i="4"/>
  <c r="AE141" i="4"/>
  <c r="AK142" i="4"/>
  <c r="AJ142" i="4"/>
  <c r="AI142" i="4"/>
  <c r="AH142" i="4"/>
  <c r="AF142" i="4"/>
  <c r="AE142" i="4"/>
  <c r="AK143" i="4"/>
  <c r="AJ143" i="4"/>
  <c r="AI143" i="4"/>
  <c r="AH143" i="4"/>
  <c r="AF143" i="4"/>
  <c r="AE143" i="4"/>
  <c r="AK144" i="4"/>
  <c r="AJ144" i="4"/>
  <c r="AI144" i="4"/>
  <c r="AH144" i="4"/>
  <c r="AF144" i="4"/>
  <c r="AE144" i="4"/>
  <c r="AK145" i="4"/>
  <c r="AJ145" i="4"/>
  <c r="AI145" i="4"/>
  <c r="AH145" i="4"/>
  <c r="AF145" i="4"/>
  <c r="AE145" i="4"/>
  <c r="AK146" i="4"/>
  <c r="AJ146" i="4"/>
  <c r="AI146" i="4"/>
  <c r="AH146" i="4"/>
  <c r="AF146" i="4"/>
  <c r="AE146" i="4"/>
  <c r="AK147" i="4"/>
  <c r="AJ147" i="4"/>
  <c r="AI147" i="4"/>
  <c r="AH147" i="4"/>
  <c r="AF147" i="4"/>
  <c r="AE147" i="4"/>
  <c r="AK148" i="4"/>
  <c r="AJ148" i="4"/>
  <c r="AI148" i="4"/>
  <c r="AH148" i="4"/>
  <c r="AF148" i="4"/>
  <c r="AE148" i="4"/>
  <c r="AK149" i="4"/>
  <c r="AJ149" i="4"/>
  <c r="AI149" i="4"/>
  <c r="AH149" i="4"/>
  <c r="AF149" i="4"/>
  <c r="AE149" i="4"/>
  <c r="AK150" i="4"/>
  <c r="AJ150" i="4"/>
  <c r="AI150" i="4"/>
  <c r="AH150" i="4"/>
  <c r="AF150" i="4"/>
  <c r="AE150" i="4"/>
  <c r="AK151" i="4"/>
  <c r="AJ151" i="4"/>
  <c r="AI151" i="4"/>
  <c r="AH151" i="4"/>
  <c r="AF151" i="4"/>
  <c r="AE151" i="4"/>
  <c r="AK152" i="4"/>
  <c r="AJ152" i="4"/>
  <c r="AI152" i="4"/>
  <c r="AH152" i="4"/>
  <c r="AF152" i="4"/>
  <c r="AE152" i="4"/>
  <c r="AK153" i="4"/>
  <c r="AJ153" i="4"/>
  <c r="AI153" i="4"/>
  <c r="AH153" i="4"/>
  <c r="AF153" i="4"/>
  <c r="AE153" i="4"/>
  <c r="AK154" i="4"/>
  <c r="AJ154" i="4"/>
  <c r="AI154" i="4"/>
  <c r="AH154" i="4"/>
  <c r="AF154" i="4"/>
  <c r="AE154" i="4"/>
  <c r="AK155" i="4"/>
  <c r="AJ155" i="4"/>
  <c r="AI155" i="4"/>
  <c r="AH155" i="4"/>
  <c r="AF155" i="4"/>
  <c r="AE155" i="4"/>
  <c r="AK156" i="4"/>
  <c r="AJ156" i="4"/>
  <c r="AI156" i="4"/>
  <c r="AH156" i="4"/>
  <c r="AF156" i="4"/>
  <c r="AE156" i="4"/>
  <c r="AK157" i="4"/>
  <c r="AJ157" i="4"/>
  <c r="AI157" i="4"/>
  <c r="AH157" i="4"/>
  <c r="AF157" i="4"/>
  <c r="AE157" i="4"/>
  <c r="AK158" i="4"/>
  <c r="AJ158" i="4"/>
  <c r="AI158" i="4"/>
  <c r="AH158" i="4"/>
  <c r="AF158" i="4"/>
  <c r="AE158" i="4"/>
  <c r="AK159" i="4"/>
  <c r="AJ159" i="4"/>
  <c r="AI159" i="4"/>
  <c r="AH159" i="4"/>
  <c r="AF159" i="4"/>
  <c r="AE159" i="4"/>
  <c r="AK160" i="4"/>
  <c r="AJ160" i="4"/>
  <c r="AI160" i="4"/>
  <c r="AH160" i="4"/>
  <c r="AF160" i="4"/>
  <c r="AE160" i="4"/>
  <c r="AK161" i="4"/>
  <c r="AJ161" i="4"/>
  <c r="AI161" i="4"/>
  <c r="AH161" i="4"/>
  <c r="AF161" i="4"/>
  <c r="AE161" i="4"/>
  <c r="AK162" i="4"/>
  <c r="AJ162" i="4"/>
  <c r="AI162" i="4"/>
  <c r="AH162" i="4"/>
  <c r="AF162" i="4"/>
  <c r="AE162" i="4"/>
  <c r="AK163" i="4"/>
  <c r="AJ163" i="4"/>
  <c r="AI163" i="4"/>
  <c r="AH163" i="4"/>
  <c r="AF163" i="4"/>
  <c r="AE163" i="4"/>
  <c r="AK164" i="4"/>
  <c r="AJ164" i="4"/>
  <c r="AI164" i="4"/>
  <c r="AH164" i="4"/>
  <c r="AF164" i="4"/>
  <c r="AE164" i="4"/>
  <c r="AK165" i="4"/>
  <c r="AJ165" i="4"/>
  <c r="AI165" i="4"/>
  <c r="AH165" i="4"/>
  <c r="AF165" i="4"/>
  <c r="AE165" i="4"/>
  <c r="AK166" i="4"/>
  <c r="AJ166" i="4"/>
  <c r="AI166" i="4"/>
  <c r="AH166" i="4"/>
  <c r="AF166" i="4"/>
  <c r="AE166" i="4"/>
  <c r="AK167" i="4"/>
  <c r="AJ167" i="4"/>
  <c r="AI167" i="4"/>
  <c r="AH167" i="4"/>
  <c r="AF167" i="4"/>
  <c r="AE167" i="4"/>
  <c r="AK168" i="4"/>
  <c r="AJ168" i="4"/>
  <c r="AI168" i="4"/>
  <c r="AH168" i="4"/>
  <c r="AF168" i="4"/>
  <c r="AE168" i="4"/>
  <c r="AK169" i="4"/>
  <c r="AJ169" i="4"/>
  <c r="AI169" i="4"/>
  <c r="AH169" i="4"/>
  <c r="AF169" i="4"/>
  <c r="AE169" i="4"/>
  <c r="AK170" i="4"/>
  <c r="AJ170" i="4"/>
  <c r="AI170" i="4"/>
  <c r="AH170" i="4"/>
  <c r="AF170" i="4"/>
  <c r="AE170" i="4"/>
  <c r="AK171" i="4"/>
  <c r="AJ171" i="4"/>
  <c r="AI171" i="4"/>
  <c r="AH171" i="4"/>
  <c r="AF171" i="4"/>
  <c r="AE171" i="4"/>
  <c r="AK172" i="4"/>
  <c r="AJ172" i="4"/>
  <c r="AI172" i="4"/>
  <c r="AH172" i="4"/>
  <c r="AF172" i="4"/>
  <c r="AE172" i="4"/>
  <c r="AK173" i="4"/>
  <c r="AJ173" i="4"/>
  <c r="AI173" i="4"/>
  <c r="AH173" i="4"/>
  <c r="AF173" i="4"/>
  <c r="AE173" i="4"/>
  <c r="AK174" i="4"/>
  <c r="AJ174" i="4"/>
  <c r="AI174" i="4"/>
  <c r="AH174" i="4"/>
  <c r="AF174" i="4"/>
  <c r="AE174" i="4"/>
  <c r="AK175" i="4"/>
  <c r="AJ175" i="4"/>
  <c r="AI175" i="4"/>
  <c r="AH175" i="4"/>
  <c r="AF175" i="4"/>
  <c r="AE175" i="4"/>
  <c r="AK176" i="4"/>
  <c r="AJ176" i="4"/>
  <c r="AI176" i="4"/>
  <c r="AH176" i="4"/>
  <c r="AF176" i="4"/>
  <c r="AE176" i="4"/>
  <c r="AK177" i="4"/>
  <c r="AJ177" i="4"/>
  <c r="AI177" i="4"/>
  <c r="AH177" i="4"/>
  <c r="AF177" i="4"/>
  <c r="AE177" i="4"/>
  <c r="AK178" i="4"/>
  <c r="AJ178" i="4"/>
  <c r="AI178" i="4"/>
  <c r="AH178" i="4"/>
  <c r="AF178" i="4"/>
  <c r="AE178" i="4"/>
  <c r="AK179" i="4"/>
  <c r="AJ179" i="4"/>
  <c r="AI179" i="4"/>
  <c r="AH179" i="4"/>
  <c r="AF179" i="4"/>
  <c r="AE179" i="4"/>
  <c r="AK180" i="4"/>
  <c r="AJ180" i="4"/>
  <c r="AI180" i="4"/>
  <c r="AH180" i="4"/>
  <c r="AF180" i="4"/>
  <c r="AE180" i="4"/>
  <c r="AK181" i="4"/>
  <c r="AJ181" i="4"/>
  <c r="AI181" i="4"/>
  <c r="AH181" i="4"/>
  <c r="AF181" i="4"/>
  <c r="AE181" i="4"/>
  <c r="AK182" i="4"/>
  <c r="AJ182" i="4"/>
  <c r="AI182" i="4"/>
  <c r="AH182" i="4"/>
  <c r="AF182" i="4"/>
  <c r="AE182" i="4"/>
  <c r="AK183" i="4"/>
  <c r="AJ183" i="4"/>
  <c r="AI183" i="4"/>
  <c r="AH183" i="4"/>
  <c r="AF183" i="4"/>
  <c r="AE183" i="4"/>
  <c r="AK184" i="4"/>
  <c r="AJ184" i="4"/>
  <c r="AI184" i="4"/>
  <c r="AH184" i="4"/>
  <c r="AF184" i="4"/>
  <c r="AE184" i="4"/>
  <c r="AK185" i="4"/>
  <c r="AJ185" i="4"/>
  <c r="AI185" i="4"/>
  <c r="AH185" i="4"/>
  <c r="AF185" i="4"/>
  <c r="AE185" i="4"/>
  <c r="AK186" i="4"/>
  <c r="AJ186" i="4"/>
  <c r="AI186" i="4"/>
  <c r="AH186" i="4"/>
  <c r="AF186" i="4"/>
  <c r="AE186" i="4"/>
  <c r="AK187" i="4"/>
  <c r="AJ187" i="4"/>
  <c r="AI187" i="4"/>
  <c r="AH187" i="4"/>
  <c r="AF187" i="4"/>
  <c r="AE187" i="4"/>
  <c r="AK188" i="4"/>
  <c r="AJ188" i="4"/>
  <c r="AI188" i="4"/>
  <c r="AH188" i="4"/>
  <c r="AF188" i="4"/>
  <c r="AE188" i="4"/>
  <c r="AK189" i="4"/>
  <c r="AJ189" i="4"/>
  <c r="AI189" i="4"/>
  <c r="AH189" i="4"/>
  <c r="AF189" i="4"/>
  <c r="AE189" i="4"/>
  <c r="AK190" i="4"/>
  <c r="AJ190" i="4"/>
  <c r="AI190" i="4"/>
  <c r="AH190" i="4"/>
  <c r="AF190" i="4"/>
  <c r="AE190" i="4"/>
  <c r="AK191" i="4"/>
  <c r="AJ191" i="4"/>
  <c r="AI191" i="4"/>
  <c r="AH191" i="4"/>
  <c r="AF191" i="4"/>
  <c r="AE191" i="4"/>
  <c r="AK192" i="4"/>
  <c r="AJ192" i="4"/>
  <c r="AI192" i="4"/>
  <c r="AH192" i="4"/>
  <c r="AF192" i="4"/>
  <c r="AE192" i="4"/>
  <c r="AK193" i="4"/>
  <c r="AJ193" i="4"/>
  <c r="AI193" i="4"/>
  <c r="AH193" i="4"/>
  <c r="AF193" i="4"/>
  <c r="AE193" i="4"/>
  <c r="AK194" i="4"/>
  <c r="AJ194" i="4"/>
  <c r="AI194" i="4"/>
  <c r="AH194" i="4"/>
  <c r="AF194" i="4"/>
  <c r="AE194" i="4"/>
  <c r="AK195" i="4"/>
  <c r="AJ195" i="4"/>
  <c r="AI195" i="4"/>
  <c r="AH195" i="4"/>
  <c r="AF195" i="4"/>
  <c r="AE195" i="4"/>
  <c r="AK196" i="4"/>
  <c r="AJ196" i="4"/>
  <c r="AI196" i="4"/>
  <c r="AH196" i="4"/>
  <c r="AF196" i="4"/>
  <c r="AE196" i="4"/>
  <c r="AK197" i="4"/>
  <c r="AJ197" i="4"/>
  <c r="AI197" i="4"/>
  <c r="AH197" i="4"/>
  <c r="AF197" i="4"/>
  <c r="AE197" i="4"/>
  <c r="AK198" i="4"/>
  <c r="AJ198" i="4"/>
  <c r="AI198" i="4"/>
  <c r="AH198" i="4"/>
  <c r="AF198" i="4"/>
  <c r="AE198" i="4"/>
  <c r="AK199" i="4"/>
  <c r="AJ199" i="4"/>
  <c r="AI199" i="4"/>
  <c r="AH199" i="4"/>
  <c r="AF199" i="4"/>
  <c r="AE199" i="4"/>
  <c r="AK200" i="4"/>
  <c r="AJ200" i="4"/>
  <c r="AI200" i="4"/>
  <c r="AH200" i="4"/>
  <c r="AF200" i="4"/>
  <c r="AE200" i="4"/>
  <c r="AK201" i="4"/>
  <c r="AJ201" i="4"/>
  <c r="AI201" i="4"/>
  <c r="AH201" i="4"/>
  <c r="AF201" i="4"/>
  <c r="AE201" i="4"/>
  <c r="AK202" i="4"/>
  <c r="AJ202" i="4"/>
  <c r="AI202" i="4"/>
  <c r="AH202" i="4"/>
  <c r="AF202" i="4"/>
  <c r="AE202" i="4"/>
  <c r="AK203" i="4"/>
  <c r="AJ203" i="4"/>
  <c r="AI203" i="4"/>
  <c r="AH203" i="4"/>
  <c r="AF203" i="4"/>
  <c r="AE203" i="4"/>
  <c r="AK204" i="4"/>
  <c r="AJ204" i="4"/>
  <c r="AI204" i="4"/>
  <c r="AH204" i="4"/>
  <c r="AF204" i="4"/>
  <c r="AE204" i="4"/>
  <c r="AK205" i="4"/>
  <c r="AJ205" i="4"/>
  <c r="AI205" i="4"/>
  <c r="AH205" i="4"/>
  <c r="AF205" i="4"/>
  <c r="AE205" i="4"/>
  <c r="AK206" i="4"/>
  <c r="AJ206" i="4"/>
  <c r="AI206" i="4"/>
  <c r="AH206" i="4"/>
  <c r="AF206" i="4"/>
  <c r="AE206" i="4"/>
  <c r="AK207" i="4"/>
  <c r="AJ207" i="4"/>
  <c r="AI207" i="4"/>
  <c r="AH207" i="4"/>
  <c r="AF207" i="4"/>
  <c r="AE207" i="4"/>
  <c r="AK208" i="4"/>
  <c r="AJ208" i="4"/>
  <c r="AI208" i="4"/>
  <c r="AH208" i="4"/>
  <c r="AF208" i="4"/>
  <c r="AE208" i="4"/>
  <c r="AK209" i="4"/>
  <c r="AJ209" i="4"/>
  <c r="AI209" i="4"/>
  <c r="AH209" i="4"/>
  <c r="AF209" i="4"/>
  <c r="AE209" i="4"/>
  <c r="AK210" i="4"/>
  <c r="AJ210" i="4"/>
  <c r="AI210" i="4"/>
  <c r="AH210" i="4"/>
  <c r="AF210" i="4"/>
  <c r="AE210" i="4"/>
  <c r="AK211" i="4"/>
  <c r="AJ211" i="4"/>
  <c r="AI211" i="4"/>
  <c r="AH211" i="4"/>
  <c r="AF211" i="4"/>
  <c r="AE211" i="4"/>
  <c r="AK212" i="4"/>
  <c r="AJ212" i="4"/>
  <c r="AI212" i="4"/>
  <c r="AH212" i="4"/>
  <c r="AF212" i="4"/>
  <c r="AE212" i="4"/>
  <c r="AK213" i="4"/>
  <c r="AJ213" i="4"/>
  <c r="AI213" i="4"/>
  <c r="AH213" i="4"/>
  <c r="AF213" i="4"/>
  <c r="AE213" i="4"/>
  <c r="AK214" i="4"/>
  <c r="AJ214" i="4"/>
  <c r="AI214" i="4"/>
  <c r="AH214" i="4"/>
  <c r="AF214" i="4"/>
  <c r="AE214" i="4"/>
  <c r="AK215" i="4"/>
  <c r="AJ215" i="4"/>
  <c r="AI215" i="4"/>
  <c r="AH215" i="4"/>
  <c r="AF215" i="4"/>
  <c r="AE215" i="4"/>
  <c r="AK216" i="4"/>
  <c r="AJ216" i="4"/>
  <c r="AI216" i="4"/>
  <c r="AH216" i="4"/>
  <c r="AF216" i="4"/>
  <c r="AE216" i="4"/>
  <c r="AK217" i="4"/>
  <c r="AJ217" i="4"/>
  <c r="AI217" i="4"/>
  <c r="AH217" i="4"/>
  <c r="AF217" i="4"/>
  <c r="AE217" i="4"/>
  <c r="AK218" i="4"/>
  <c r="AJ218" i="4"/>
  <c r="AI218" i="4"/>
  <c r="AH218" i="4"/>
  <c r="AF218" i="4"/>
  <c r="AE218" i="4"/>
  <c r="AK219" i="4"/>
  <c r="AJ219" i="4"/>
  <c r="AI219" i="4"/>
  <c r="AH219" i="4"/>
  <c r="AF219" i="4"/>
  <c r="AE219" i="4"/>
  <c r="AK220" i="4"/>
  <c r="AJ220" i="4"/>
  <c r="AI220" i="4"/>
  <c r="AH220" i="4"/>
  <c r="AF220" i="4"/>
  <c r="AE220" i="4"/>
  <c r="AK221" i="4"/>
  <c r="AJ221" i="4"/>
  <c r="AI221" i="4"/>
  <c r="AH221" i="4"/>
  <c r="AF221" i="4"/>
  <c r="AE221" i="4"/>
  <c r="AK222" i="4"/>
  <c r="AJ222" i="4"/>
  <c r="AI222" i="4"/>
  <c r="AH222" i="4"/>
  <c r="AF222" i="4"/>
  <c r="AE222" i="4"/>
  <c r="AK223" i="4"/>
  <c r="AJ223" i="4"/>
  <c r="AI223" i="4"/>
  <c r="AH223" i="4"/>
  <c r="AF223" i="4"/>
  <c r="AE223" i="4"/>
  <c r="AK224" i="4"/>
  <c r="AJ224" i="4"/>
  <c r="AI224" i="4"/>
  <c r="AH224" i="4"/>
  <c r="AF224" i="4"/>
  <c r="AE224" i="4"/>
  <c r="AK225" i="4"/>
  <c r="AJ225" i="4"/>
  <c r="AI225" i="4"/>
  <c r="AH225" i="4"/>
  <c r="AF225" i="4"/>
  <c r="AE225" i="4"/>
  <c r="AK226" i="4"/>
  <c r="AJ226" i="4"/>
  <c r="AI226" i="4"/>
  <c r="AH226" i="4"/>
  <c r="AF226" i="4"/>
  <c r="AE226" i="4"/>
  <c r="AK227" i="4"/>
  <c r="AJ227" i="4"/>
  <c r="AI227" i="4"/>
  <c r="AH227" i="4"/>
  <c r="AF227" i="4"/>
  <c r="AE227" i="4"/>
  <c r="AK228" i="4"/>
  <c r="AJ228" i="4"/>
  <c r="AI228" i="4"/>
  <c r="AH228" i="4"/>
  <c r="AF228" i="4"/>
  <c r="AE228" i="4"/>
  <c r="AK229" i="4"/>
  <c r="AJ229" i="4"/>
  <c r="AI229" i="4"/>
  <c r="AH229" i="4"/>
  <c r="AF229" i="4"/>
  <c r="AE229" i="4"/>
  <c r="AK230" i="4"/>
  <c r="AJ230" i="4"/>
  <c r="AI230" i="4"/>
  <c r="AH230" i="4"/>
  <c r="AF230" i="4"/>
  <c r="AE230" i="4"/>
  <c r="AK231" i="4"/>
  <c r="AJ231" i="4"/>
  <c r="AI231" i="4"/>
  <c r="AH231" i="4"/>
  <c r="AF231" i="4"/>
  <c r="AE231" i="4"/>
  <c r="AK232" i="4"/>
  <c r="AJ232" i="4"/>
  <c r="AI232" i="4"/>
  <c r="AH232" i="4"/>
  <c r="AF232" i="4"/>
  <c r="AE232" i="4"/>
  <c r="AK233" i="4"/>
  <c r="AJ233" i="4"/>
  <c r="AI233" i="4"/>
  <c r="AH233" i="4"/>
  <c r="AF233" i="4"/>
  <c r="AE233" i="4"/>
  <c r="AK234" i="4"/>
  <c r="AJ234" i="4"/>
  <c r="AI234" i="4"/>
  <c r="AH234" i="4"/>
  <c r="AF234" i="4"/>
  <c r="AE234" i="4"/>
  <c r="AK235" i="4"/>
  <c r="AJ235" i="4"/>
  <c r="AI235" i="4"/>
  <c r="AH235" i="4"/>
  <c r="AF235" i="4"/>
  <c r="AE235" i="4"/>
  <c r="AK236" i="4"/>
  <c r="AJ236" i="4"/>
  <c r="AI236" i="4"/>
  <c r="AH236" i="4"/>
  <c r="AF236" i="4"/>
  <c r="AE236" i="4"/>
  <c r="AK237" i="4"/>
  <c r="AJ237" i="4"/>
  <c r="AI237" i="4"/>
  <c r="AH237" i="4"/>
  <c r="AF237" i="4"/>
  <c r="AE237" i="4"/>
  <c r="AK238" i="4"/>
  <c r="AJ238" i="4"/>
  <c r="AI238" i="4"/>
  <c r="AH238" i="4"/>
  <c r="AF238" i="4"/>
  <c r="AE238" i="4"/>
  <c r="AK239" i="4"/>
  <c r="AJ239" i="4"/>
  <c r="AI239" i="4"/>
  <c r="AH239" i="4"/>
  <c r="AF239" i="4"/>
  <c r="AE239" i="4"/>
  <c r="AK240" i="4"/>
  <c r="AJ240" i="4"/>
  <c r="AI240" i="4"/>
  <c r="AH240" i="4"/>
  <c r="AF240" i="4"/>
  <c r="AE240" i="4"/>
  <c r="AK241" i="4"/>
  <c r="AJ241" i="4"/>
  <c r="AI241" i="4"/>
  <c r="AH241" i="4"/>
  <c r="AF241" i="4"/>
  <c r="AE241" i="4"/>
  <c r="AK242" i="4"/>
  <c r="AJ242" i="4"/>
  <c r="AI242" i="4"/>
  <c r="AH242" i="4"/>
  <c r="AF242" i="4"/>
  <c r="AE242" i="4"/>
  <c r="AK243" i="4"/>
  <c r="AJ243" i="4"/>
  <c r="AI243" i="4"/>
  <c r="AH243" i="4"/>
  <c r="AF243" i="4"/>
  <c r="AE243" i="4"/>
  <c r="AK244" i="4"/>
  <c r="AJ244" i="4"/>
  <c r="AI244" i="4"/>
  <c r="AH244" i="4"/>
  <c r="AF244" i="4"/>
  <c r="AE244" i="4"/>
  <c r="AK245" i="4"/>
  <c r="AJ245" i="4"/>
  <c r="AI245" i="4"/>
  <c r="AH245" i="4"/>
  <c r="AF245" i="4"/>
  <c r="AE245" i="4"/>
  <c r="AK246" i="4"/>
  <c r="AJ246" i="4"/>
  <c r="AI246" i="4"/>
  <c r="AH246" i="4"/>
  <c r="AF246" i="4"/>
  <c r="AE246" i="4"/>
  <c r="AK247" i="4"/>
  <c r="AJ247" i="4"/>
  <c r="AI247" i="4"/>
  <c r="AH247" i="4"/>
  <c r="AF247" i="4"/>
  <c r="AE247" i="4"/>
  <c r="AK248" i="4"/>
  <c r="AJ248" i="4"/>
  <c r="AI248" i="4"/>
  <c r="AH248" i="4"/>
  <c r="AF248" i="4"/>
  <c r="AE248" i="4"/>
  <c r="AK249" i="4"/>
  <c r="AJ249" i="4"/>
  <c r="AI249" i="4"/>
  <c r="AH249" i="4"/>
  <c r="AF249" i="4"/>
  <c r="AE249" i="4"/>
  <c r="AK250" i="4"/>
  <c r="AJ250" i="4"/>
  <c r="AI250" i="4"/>
  <c r="AH250" i="4"/>
  <c r="AF250" i="4"/>
  <c r="AE250" i="4"/>
  <c r="AK251" i="4"/>
  <c r="AJ251" i="4"/>
  <c r="AI251" i="4"/>
  <c r="AH251" i="4"/>
  <c r="AF251" i="4"/>
  <c r="AE251" i="4"/>
  <c r="AK252" i="4"/>
  <c r="AJ252" i="4"/>
  <c r="AI252" i="4"/>
  <c r="AH252" i="4"/>
  <c r="AF252" i="4"/>
  <c r="AE252" i="4"/>
  <c r="AK253" i="4"/>
  <c r="AJ253" i="4"/>
  <c r="AI253" i="4"/>
  <c r="AH253" i="4"/>
  <c r="AF253" i="4"/>
  <c r="AE253" i="4"/>
  <c r="AK254" i="4"/>
  <c r="AJ254" i="4"/>
  <c r="AI254" i="4"/>
  <c r="AH254" i="4"/>
  <c r="AF254" i="4"/>
  <c r="AE254" i="4"/>
  <c r="AK255" i="4"/>
  <c r="AJ255" i="4"/>
  <c r="AI255" i="4"/>
  <c r="AH255" i="4"/>
  <c r="AF255" i="4"/>
  <c r="AE255" i="4"/>
  <c r="AK256" i="4"/>
  <c r="AJ256" i="4"/>
  <c r="AI256" i="4"/>
  <c r="AH256" i="4"/>
  <c r="AF256" i="4"/>
  <c r="AE256" i="4"/>
  <c r="AK257" i="4"/>
  <c r="AJ257" i="4"/>
  <c r="AI257" i="4"/>
  <c r="AH257" i="4"/>
  <c r="AF257" i="4"/>
  <c r="AE257" i="4"/>
  <c r="AK258" i="4"/>
  <c r="AJ258" i="4"/>
  <c r="AI258" i="4"/>
  <c r="AH258" i="4"/>
  <c r="AF258" i="4"/>
  <c r="AE258" i="4"/>
  <c r="AK259" i="4"/>
  <c r="AJ259" i="4"/>
  <c r="AI259" i="4"/>
  <c r="AH259" i="4"/>
  <c r="AF259" i="4"/>
  <c r="AE259" i="4"/>
  <c r="AK260" i="4"/>
  <c r="AJ260" i="4"/>
  <c r="AI260" i="4"/>
  <c r="AH260" i="4"/>
  <c r="AF260" i="4"/>
  <c r="AE260" i="4"/>
  <c r="AK261" i="4"/>
  <c r="AJ261" i="4"/>
  <c r="AI261" i="4"/>
  <c r="AH261" i="4"/>
  <c r="AF261" i="4"/>
  <c r="AE261" i="4"/>
  <c r="AK262" i="4"/>
  <c r="AJ262" i="4"/>
  <c r="AI262" i="4"/>
  <c r="AH262" i="4"/>
  <c r="AF262" i="4"/>
  <c r="AE262" i="4"/>
  <c r="AK263" i="4"/>
  <c r="AJ263" i="4"/>
  <c r="AI263" i="4"/>
  <c r="AH263" i="4"/>
  <c r="AF263" i="4"/>
  <c r="AE263" i="4"/>
  <c r="AK264" i="4"/>
  <c r="AJ264" i="4"/>
  <c r="AI264" i="4"/>
  <c r="AH264" i="4"/>
  <c r="AF264" i="4"/>
  <c r="AE264" i="4"/>
  <c r="AK265" i="4"/>
  <c r="AJ265" i="4"/>
  <c r="AI265" i="4"/>
  <c r="AH265" i="4"/>
  <c r="AF265" i="4"/>
  <c r="AE265" i="4"/>
  <c r="AK266" i="4"/>
  <c r="AJ266" i="4"/>
  <c r="AI266" i="4"/>
  <c r="AH266" i="4"/>
  <c r="AF266" i="4"/>
  <c r="AE266" i="4"/>
  <c r="AK267" i="4"/>
  <c r="AJ267" i="4"/>
  <c r="AI267" i="4"/>
  <c r="AH267" i="4"/>
  <c r="AF267" i="4"/>
  <c r="AE267" i="4"/>
  <c r="AK268" i="4"/>
  <c r="AJ268" i="4"/>
  <c r="AI268" i="4"/>
  <c r="AH268" i="4"/>
  <c r="AF268" i="4"/>
  <c r="AE268" i="4"/>
  <c r="AK269" i="4"/>
  <c r="AJ269" i="4"/>
  <c r="AI269" i="4"/>
  <c r="AH269" i="4"/>
  <c r="AF269" i="4"/>
  <c r="AE269" i="4"/>
  <c r="AK270" i="4"/>
  <c r="AJ270" i="4"/>
  <c r="AI270" i="4"/>
  <c r="AH270" i="4"/>
  <c r="AF270" i="4"/>
  <c r="AE270" i="4"/>
  <c r="AK271" i="4"/>
  <c r="AJ271" i="4"/>
  <c r="AI271" i="4"/>
  <c r="AH271" i="4"/>
  <c r="AF271" i="4"/>
  <c r="AE271" i="4"/>
  <c r="AK272" i="4"/>
  <c r="AJ272" i="4"/>
  <c r="AI272" i="4"/>
  <c r="AH272" i="4"/>
  <c r="AF272" i="4"/>
  <c r="AE272" i="4"/>
  <c r="AK273" i="4"/>
  <c r="AJ273" i="4"/>
  <c r="AI273" i="4"/>
  <c r="AH273" i="4"/>
  <c r="AF273" i="4"/>
  <c r="AE273" i="4"/>
  <c r="AK274" i="4"/>
  <c r="AJ274" i="4"/>
  <c r="AI274" i="4"/>
  <c r="AH274" i="4"/>
  <c r="AF274" i="4"/>
  <c r="AE274" i="4"/>
  <c r="AK275" i="4"/>
  <c r="AJ275" i="4"/>
  <c r="AI275" i="4"/>
  <c r="AH275" i="4"/>
  <c r="AF275" i="4"/>
  <c r="AE275" i="4"/>
  <c r="AK276" i="4"/>
  <c r="AJ276" i="4"/>
  <c r="AI276" i="4"/>
  <c r="AH276" i="4"/>
  <c r="AF276" i="4"/>
  <c r="AE276" i="4"/>
  <c r="AK277" i="4"/>
  <c r="AJ277" i="4"/>
  <c r="AI277" i="4"/>
  <c r="AH277" i="4"/>
  <c r="AF277" i="4"/>
  <c r="AE277" i="4"/>
  <c r="AK278" i="4"/>
  <c r="AJ278" i="4"/>
  <c r="AI278" i="4"/>
  <c r="AH278" i="4"/>
  <c r="AF278" i="4"/>
  <c r="AE278" i="4"/>
  <c r="AK279" i="4"/>
  <c r="AJ279" i="4"/>
  <c r="AI279" i="4"/>
  <c r="AH279" i="4"/>
  <c r="AF279" i="4"/>
  <c r="AE279" i="4"/>
  <c r="AK280" i="4"/>
  <c r="AJ280" i="4"/>
  <c r="AI280" i="4"/>
  <c r="AH280" i="4"/>
  <c r="AF280" i="4"/>
  <c r="AE280" i="4"/>
  <c r="AK281" i="4"/>
  <c r="AJ281" i="4"/>
  <c r="AI281" i="4"/>
  <c r="AH281" i="4"/>
  <c r="AF281" i="4"/>
  <c r="AE281" i="4"/>
  <c r="AK282" i="4"/>
  <c r="AJ282" i="4"/>
  <c r="AI282" i="4"/>
  <c r="AH282" i="4"/>
  <c r="AF282" i="4"/>
  <c r="AE282" i="4"/>
  <c r="AK283" i="4"/>
  <c r="AJ283" i="4"/>
  <c r="AI283" i="4"/>
  <c r="AH283" i="4"/>
  <c r="AF283" i="4"/>
  <c r="AE283" i="4"/>
  <c r="AK284" i="4"/>
  <c r="AJ284" i="4"/>
  <c r="AI284" i="4"/>
  <c r="AH284" i="4"/>
  <c r="AF284" i="4"/>
  <c r="AE284" i="4"/>
  <c r="AK285" i="4"/>
  <c r="AJ285" i="4"/>
  <c r="AI285" i="4"/>
  <c r="AH285" i="4"/>
  <c r="AF285" i="4"/>
  <c r="AE285" i="4"/>
  <c r="AK286" i="4"/>
  <c r="AJ286" i="4"/>
  <c r="AI286" i="4"/>
  <c r="AH286" i="4"/>
  <c r="AF286" i="4"/>
  <c r="AE286" i="4"/>
  <c r="AK287" i="4"/>
  <c r="AJ287" i="4"/>
  <c r="AI287" i="4"/>
  <c r="AH287" i="4"/>
  <c r="AF287" i="4"/>
  <c r="AE287" i="4"/>
  <c r="AK288" i="4"/>
  <c r="AJ288" i="4"/>
  <c r="AI288" i="4"/>
  <c r="AH288" i="4"/>
  <c r="AF288" i="4"/>
  <c r="AE288" i="4"/>
  <c r="AK289" i="4"/>
  <c r="AJ289" i="4"/>
  <c r="AI289" i="4"/>
  <c r="AH289" i="4"/>
  <c r="AF289" i="4"/>
  <c r="AE289" i="4"/>
  <c r="AK290" i="4"/>
  <c r="AJ290" i="4"/>
  <c r="AI290" i="4"/>
  <c r="AH290" i="4"/>
  <c r="AF290" i="4"/>
  <c r="AE290" i="4"/>
  <c r="AK291" i="4"/>
  <c r="AJ291" i="4"/>
  <c r="AI291" i="4"/>
  <c r="AH291" i="4"/>
  <c r="AF291" i="4"/>
  <c r="AE291" i="4"/>
  <c r="AK292" i="4"/>
  <c r="AJ292" i="4"/>
  <c r="AI292" i="4"/>
  <c r="AH292" i="4"/>
  <c r="AF292" i="4"/>
  <c r="AE292" i="4"/>
  <c r="AK293" i="4"/>
  <c r="AJ293" i="4"/>
  <c r="AI293" i="4"/>
  <c r="AH293" i="4"/>
  <c r="AF293" i="4"/>
  <c r="AE293" i="4"/>
  <c r="AK294" i="4"/>
  <c r="AJ294" i="4"/>
  <c r="AI294" i="4"/>
  <c r="AH294" i="4"/>
  <c r="AF294" i="4"/>
  <c r="AE294" i="4"/>
  <c r="AK295" i="4"/>
  <c r="AJ295" i="4"/>
  <c r="AI295" i="4"/>
  <c r="AH295" i="4"/>
  <c r="AF295" i="4"/>
  <c r="AE295" i="4"/>
  <c r="AK296" i="4"/>
  <c r="AJ296" i="4"/>
  <c r="AI296" i="4"/>
  <c r="AH296" i="4"/>
  <c r="AF296" i="4"/>
  <c r="AE296" i="4"/>
  <c r="AK297" i="4"/>
  <c r="AJ297" i="4"/>
  <c r="AI297" i="4"/>
  <c r="AH297" i="4"/>
  <c r="AF297" i="4"/>
  <c r="AE297" i="4"/>
  <c r="AK298" i="4"/>
  <c r="AJ298" i="4"/>
  <c r="AI298" i="4"/>
  <c r="AH298" i="4"/>
  <c r="AF298" i="4"/>
  <c r="AE298" i="4"/>
  <c r="AK299" i="4"/>
  <c r="AJ299" i="4"/>
  <c r="AI299" i="4"/>
  <c r="AH299" i="4"/>
  <c r="AF299" i="4"/>
  <c r="AE299" i="4"/>
  <c r="AK300" i="4"/>
  <c r="AJ300" i="4"/>
  <c r="AI300" i="4"/>
  <c r="AH300" i="4"/>
  <c r="AF300" i="4"/>
  <c r="AE300" i="4"/>
  <c r="AK301" i="4"/>
  <c r="AJ301" i="4"/>
  <c r="AI301" i="4"/>
  <c r="AH301" i="4"/>
  <c r="AF301" i="4"/>
  <c r="AE301" i="4"/>
  <c r="AK302" i="4"/>
  <c r="AJ302" i="4"/>
  <c r="AI302" i="4"/>
  <c r="AH302" i="4"/>
  <c r="AF302" i="4"/>
  <c r="AE302" i="4"/>
  <c r="AK303" i="4"/>
  <c r="AJ303" i="4"/>
  <c r="AI303" i="4"/>
  <c r="AH303" i="4"/>
  <c r="AF303" i="4"/>
  <c r="AE303" i="4"/>
  <c r="AK304" i="4"/>
  <c r="AJ304" i="4"/>
  <c r="AI304" i="4"/>
  <c r="AH304" i="4"/>
  <c r="AF304" i="4"/>
  <c r="AE304" i="4"/>
  <c r="AK305" i="4"/>
  <c r="AJ305" i="4"/>
  <c r="AI305" i="4"/>
  <c r="AH305" i="4"/>
  <c r="AF305" i="4"/>
  <c r="AE305" i="4"/>
  <c r="AK306" i="4"/>
  <c r="AJ306" i="4"/>
  <c r="AI306" i="4"/>
  <c r="AH306" i="4"/>
  <c r="AF306" i="4"/>
  <c r="AE306" i="4"/>
  <c r="AK307" i="4"/>
  <c r="AJ307" i="4"/>
  <c r="AI307" i="4"/>
  <c r="AH307" i="4"/>
  <c r="AF307" i="4"/>
  <c r="AE307" i="4"/>
  <c r="AK308" i="4"/>
  <c r="AJ308" i="4"/>
  <c r="AI308" i="4"/>
  <c r="AH308" i="4"/>
  <c r="AF308" i="4"/>
  <c r="AE308" i="4"/>
  <c r="AK309" i="4"/>
  <c r="AJ309" i="4"/>
  <c r="AI309" i="4"/>
  <c r="AH309" i="4"/>
  <c r="AF309" i="4"/>
  <c r="AE309" i="4"/>
  <c r="AK310" i="4"/>
  <c r="AJ310" i="4"/>
  <c r="AI310" i="4"/>
  <c r="AH310" i="4"/>
  <c r="AF310" i="4"/>
  <c r="AE310" i="4"/>
  <c r="AK311" i="4"/>
  <c r="AJ311" i="4"/>
  <c r="AI311" i="4"/>
  <c r="AH311" i="4"/>
  <c r="AF311" i="4"/>
  <c r="AE311" i="4"/>
  <c r="AK312" i="4"/>
  <c r="AJ312" i="4"/>
  <c r="AI312" i="4"/>
  <c r="AH312" i="4"/>
  <c r="AF312" i="4"/>
  <c r="AE312" i="4"/>
  <c r="AK313" i="4"/>
  <c r="AJ313" i="4"/>
  <c r="AI313" i="4"/>
  <c r="AH313" i="4"/>
  <c r="AF313" i="4"/>
  <c r="AE313" i="4"/>
  <c r="AK314" i="4"/>
  <c r="AJ314" i="4"/>
  <c r="AI314" i="4"/>
  <c r="AH314" i="4"/>
  <c r="AF314" i="4"/>
  <c r="AE314" i="4"/>
  <c r="AK315" i="4"/>
  <c r="AJ315" i="4"/>
  <c r="AI315" i="4"/>
  <c r="AH315" i="4"/>
  <c r="AF315" i="4"/>
  <c r="AE315" i="4"/>
  <c r="AK316" i="4"/>
  <c r="AJ316" i="4"/>
  <c r="AI316" i="4"/>
  <c r="AH316" i="4"/>
  <c r="AF316" i="4"/>
  <c r="AE316" i="4"/>
  <c r="AK317" i="4"/>
  <c r="AJ317" i="4"/>
  <c r="AI317" i="4"/>
  <c r="AH317" i="4"/>
  <c r="AF317" i="4"/>
  <c r="AE317" i="4"/>
  <c r="AK318" i="4"/>
  <c r="AJ318" i="4"/>
  <c r="AI318" i="4"/>
  <c r="AH318" i="4"/>
  <c r="AF318" i="4"/>
  <c r="AE318" i="4"/>
  <c r="AK319" i="4"/>
  <c r="AJ319" i="4"/>
  <c r="AI319" i="4"/>
  <c r="AH319" i="4"/>
  <c r="AF319" i="4"/>
  <c r="AE319" i="4"/>
  <c r="AK320" i="4"/>
  <c r="AJ320" i="4"/>
  <c r="AI320" i="4"/>
  <c r="AH320" i="4"/>
  <c r="AF320" i="4"/>
  <c r="AE320" i="4"/>
  <c r="AK321" i="4"/>
  <c r="AJ321" i="4"/>
  <c r="AI321" i="4"/>
  <c r="AH321" i="4"/>
  <c r="AF321" i="4"/>
  <c r="AE321" i="4"/>
  <c r="AK322" i="4"/>
  <c r="AJ322" i="4"/>
  <c r="AI322" i="4"/>
  <c r="AH322" i="4"/>
  <c r="AF322" i="4"/>
  <c r="AE322" i="4"/>
  <c r="AK323" i="4"/>
  <c r="AJ323" i="4"/>
  <c r="AI323" i="4"/>
  <c r="AH323" i="4"/>
  <c r="AF323" i="4"/>
  <c r="AE323" i="4"/>
  <c r="AK324" i="4"/>
  <c r="AJ324" i="4"/>
  <c r="AI324" i="4"/>
  <c r="AH324" i="4"/>
  <c r="AF324" i="4"/>
  <c r="AE324" i="4"/>
  <c r="AK325" i="4"/>
  <c r="AJ325" i="4"/>
  <c r="AI325" i="4"/>
  <c r="AH325" i="4"/>
  <c r="AF325" i="4"/>
  <c r="AE325" i="4"/>
  <c r="AK326" i="4"/>
  <c r="AJ326" i="4"/>
  <c r="AI326" i="4"/>
  <c r="AH326" i="4"/>
  <c r="AF326" i="4"/>
  <c r="AE326" i="4"/>
  <c r="AK327" i="4"/>
  <c r="AJ327" i="4"/>
  <c r="AI327" i="4"/>
  <c r="AH327" i="4"/>
  <c r="AF327" i="4"/>
  <c r="AE327" i="4"/>
  <c r="AK328" i="4"/>
  <c r="AJ328" i="4"/>
  <c r="AI328" i="4"/>
  <c r="AH328" i="4"/>
  <c r="AF328" i="4"/>
  <c r="AE328" i="4"/>
  <c r="AK329" i="4"/>
  <c r="AJ329" i="4"/>
  <c r="AI329" i="4"/>
  <c r="AH329" i="4"/>
  <c r="AF329" i="4"/>
  <c r="AE329" i="4"/>
  <c r="AK330" i="4"/>
  <c r="AJ330" i="4"/>
  <c r="AI330" i="4"/>
  <c r="AH330" i="4"/>
  <c r="AF330" i="4"/>
  <c r="AE330" i="4"/>
  <c r="AK331" i="4"/>
  <c r="AJ331" i="4"/>
  <c r="AI331" i="4"/>
  <c r="AH331" i="4"/>
  <c r="AF331" i="4"/>
  <c r="AE331" i="4"/>
  <c r="AK332" i="4"/>
  <c r="AJ332" i="4"/>
  <c r="AI332" i="4"/>
  <c r="AH332" i="4"/>
  <c r="AF332" i="4"/>
  <c r="AE332" i="4"/>
  <c r="AK333" i="4"/>
  <c r="AJ333" i="4"/>
  <c r="AI333" i="4"/>
  <c r="AH333" i="4"/>
  <c r="AF333" i="4"/>
  <c r="AE333" i="4"/>
  <c r="AK334" i="4"/>
  <c r="AJ334" i="4"/>
  <c r="AI334" i="4"/>
  <c r="AH334" i="4"/>
  <c r="AF334" i="4"/>
  <c r="AE334" i="4"/>
  <c r="AK335" i="4"/>
  <c r="AJ335" i="4"/>
  <c r="AI335" i="4"/>
  <c r="AH335" i="4"/>
  <c r="AF335" i="4"/>
  <c r="AE335" i="4"/>
  <c r="AK336" i="4"/>
  <c r="AJ336" i="4"/>
  <c r="AI336" i="4"/>
  <c r="AH336" i="4"/>
  <c r="AF336" i="4"/>
  <c r="AE336" i="4"/>
  <c r="AK337" i="4"/>
  <c r="AJ337" i="4"/>
  <c r="AI337" i="4"/>
  <c r="AH337" i="4"/>
  <c r="AF337" i="4"/>
  <c r="AE337" i="4"/>
  <c r="AK338" i="4"/>
  <c r="AJ338" i="4"/>
  <c r="AI338" i="4"/>
  <c r="AH338" i="4"/>
  <c r="AF338" i="4"/>
  <c r="AE338" i="4"/>
  <c r="AK339" i="4"/>
  <c r="AJ339" i="4"/>
  <c r="AI339" i="4"/>
  <c r="AH339" i="4"/>
  <c r="AF339" i="4"/>
  <c r="AE339" i="4"/>
  <c r="AK340" i="4"/>
  <c r="AJ340" i="4"/>
  <c r="AI340" i="4"/>
  <c r="AH340" i="4"/>
  <c r="AF340" i="4"/>
  <c r="AE340" i="4"/>
  <c r="AK341" i="4"/>
  <c r="AJ341" i="4"/>
  <c r="AI341" i="4"/>
  <c r="AH341" i="4"/>
  <c r="AF341" i="4"/>
  <c r="AE341" i="4"/>
  <c r="AK342" i="4"/>
  <c r="AJ342" i="4"/>
  <c r="AI342" i="4"/>
  <c r="AH342" i="4"/>
  <c r="AF342" i="4"/>
  <c r="AE342" i="4"/>
  <c r="AK343" i="4"/>
  <c r="AJ343" i="4"/>
  <c r="AI343" i="4"/>
  <c r="AH343" i="4"/>
  <c r="AF343" i="4"/>
  <c r="AE343" i="4"/>
  <c r="AK344" i="4"/>
  <c r="AJ344" i="4"/>
  <c r="AI344" i="4"/>
  <c r="AH344" i="4"/>
  <c r="AF344" i="4"/>
  <c r="AE344" i="4"/>
  <c r="AK345" i="4"/>
  <c r="AJ345" i="4"/>
  <c r="AI345" i="4"/>
  <c r="AH345" i="4"/>
  <c r="AF345" i="4"/>
  <c r="AE345" i="4"/>
  <c r="AK346" i="4"/>
  <c r="AJ346" i="4"/>
  <c r="AI346" i="4"/>
  <c r="AH346" i="4"/>
  <c r="AF346" i="4"/>
  <c r="AE346" i="4"/>
  <c r="AK347" i="4"/>
  <c r="AJ347" i="4"/>
  <c r="AI347" i="4"/>
  <c r="AH347" i="4"/>
  <c r="AF347" i="4"/>
  <c r="AE347" i="4"/>
  <c r="AK348" i="4"/>
  <c r="AJ348" i="4"/>
  <c r="AI348" i="4"/>
  <c r="AH348" i="4"/>
  <c r="AF348" i="4"/>
  <c r="AE348" i="4"/>
  <c r="AK349" i="4"/>
  <c r="AJ349" i="4"/>
  <c r="AI349" i="4"/>
  <c r="AH349" i="4"/>
  <c r="AF349" i="4"/>
  <c r="AE349" i="4"/>
  <c r="AK350" i="4"/>
  <c r="AJ350" i="4"/>
  <c r="AI350" i="4"/>
  <c r="AH350" i="4"/>
  <c r="AF350" i="4"/>
  <c r="AE350" i="4"/>
  <c r="AK351" i="4"/>
  <c r="AJ351" i="4"/>
  <c r="AI351" i="4"/>
  <c r="AH351" i="4"/>
  <c r="AF351" i="4"/>
  <c r="AE351" i="4"/>
  <c r="AK352" i="4"/>
  <c r="AJ352" i="4"/>
  <c r="AI352" i="4"/>
  <c r="AH352" i="4"/>
  <c r="AF352" i="4"/>
  <c r="AE352" i="4"/>
  <c r="AK353" i="4"/>
  <c r="AJ353" i="4"/>
  <c r="AI353" i="4"/>
  <c r="AH353" i="4"/>
  <c r="AF353" i="4"/>
  <c r="AE353" i="4"/>
  <c r="AK354" i="4"/>
  <c r="AJ354" i="4"/>
  <c r="AI354" i="4"/>
  <c r="AH354" i="4"/>
  <c r="AF354" i="4"/>
  <c r="AE354" i="4"/>
  <c r="AK355" i="4"/>
  <c r="AJ355" i="4"/>
  <c r="AI355" i="4"/>
  <c r="AH355" i="4"/>
  <c r="AF355" i="4"/>
  <c r="AE355" i="4"/>
  <c r="AK356" i="4"/>
  <c r="AJ356" i="4"/>
  <c r="AI356" i="4"/>
  <c r="AH356" i="4"/>
  <c r="AF356" i="4"/>
  <c r="AE356" i="4"/>
  <c r="AK357" i="4"/>
  <c r="AJ357" i="4"/>
  <c r="AI357" i="4"/>
  <c r="AH357" i="4"/>
  <c r="AF357" i="4"/>
  <c r="AE357" i="4"/>
  <c r="AK358" i="4"/>
  <c r="AJ358" i="4"/>
  <c r="AI358" i="4"/>
  <c r="AH358" i="4"/>
  <c r="AF358" i="4"/>
  <c r="AE358" i="4"/>
  <c r="AK359" i="4"/>
  <c r="AJ359" i="4"/>
  <c r="AI359" i="4"/>
  <c r="AH359" i="4"/>
  <c r="AF359" i="4"/>
  <c r="AE359" i="4"/>
  <c r="AK360" i="4"/>
  <c r="AJ360" i="4"/>
  <c r="AI360" i="4"/>
  <c r="AH360" i="4"/>
  <c r="AF360" i="4"/>
  <c r="AE360" i="4"/>
  <c r="AK361" i="4"/>
  <c r="AJ361" i="4"/>
  <c r="AI361" i="4"/>
  <c r="AH361" i="4"/>
  <c r="AF361" i="4"/>
  <c r="AE361" i="4"/>
  <c r="AK362" i="4"/>
  <c r="AJ362" i="4"/>
  <c r="AI362" i="4"/>
  <c r="AH362" i="4"/>
  <c r="AF362" i="4"/>
  <c r="AE362" i="4"/>
  <c r="AK363" i="4"/>
  <c r="AJ363" i="4"/>
  <c r="AI363" i="4"/>
  <c r="AH363" i="4"/>
  <c r="AF363" i="4"/>
  <c r="AE363" i="4"/>
  <c r="AK364" i="4"/>
  <c r="AJ364" i="4"/>
  <c r="AI364" i="4"/>
  <c r="AH364" i="4"/>
  <c r="AF364" i="4"/>
  <c r="AE364" i="4"/>
  <c r="AK365" i="4"/>
  <c r="AJ365" i="4"/>
  <c r="AI365" i="4"/>
  <c r="AH365" i="4"/>
  <c r="AF365" i="4"/>
  <c r="AE365" i="4"/>
  <c r="AK366" i="4"/>
  <c r="AJ366" i="4"/>
  <c r="AI366" i="4"/>
  <c r="AH366" i="4"/>
  <c r="AF366" i="4"/>
  <c r="AE366" i="4"/>
  <c r="AK367" i="4"/>
  <c r="AJ367" i="4"/>
  <c r="AI367" i="4"/>
  <c r="AH367" i="4"/>
  <c r="AF367" i="4"/>
  <c r="AE367" i="4"/>
  <c r="AK368" i="4"/>
  <c r="AJ368" i="4"/>
  <c r="AI368" i="4"/>
  <c r="AH368" i="4"/>
  <c r="AF368" i="4"/>
  <c r="AE368" i="4"/>
  <c r="AK369" i="4"/>
  <c r="AJ369" i="4"/>
  <c r="AI369" i="4"/>
  <c r="AH369" i="4"/>
  <c r="AF369" i="4"/>
  <c r="AE369" i="4"/>
  <c r="AK370" i="4"/>
  <c r="AJ370" i="4"/>
  <c r="AI370" i="4"/>
  <c r="AH370" i="4"/>
  <c r="AF370" i="4"/>
  <c r="AE370" i="4"/>
  <c r="AK371" i="4"/>
  <c r="AJ371" i="4"/>
  <c r="AI371" i="4"/>
  <c r="AH371" i="4"/>
  <c r="AF371" i="4"/>
  <c r="AE371" i="4"/>
  <c r="AK372" i="4"/>
  <c r="AJ372" i="4"/>
  <c r="AI372" i="4"/>
  <c r="AH372" i="4"/>
  <c r="AF372" i="4"/>
  <c r="AE372" i="4"/>
  <c r="AK373" i="4"/>
  <c r="AJ373" i="4"/>
  <c r="AI373" i="4"/>
  <c r="AH373" i="4"/>
  <c r="AF373" i="4"/>
  <c r="AE373" i="4"/>
  <c r="AK374" i="4"/>
  <c r="AJ374" i="4"/>
  <c r="AI374" i="4"/>
  <c r="AH374" i="4"/>
  <c r="AF374" i="4"/>
  <c r="AE374" i="4"/>
  <c r="AK375" i="4"/>
  <c r="AJ375" i="4"/>
  <c r="AI375" i="4"/>
  <c r="AH375" i="4"/>
  <c r="AF375" i="4"/>
  <c r="AE375" i="4"/>
  <c r="AK376" i="4"/>
  <c r="AJ376" i="4"/>
  <c r="AI376" i="4"/>
  <c r="AH376" i="4"/>
  <c r="AF376" i="4"/>
  <c r="AE376" i="4"/>
  <c r="AK377" i="4"/>
  <c r="AJ377" i="4"/>
  <c r="AI377" i="4"/>
  <c r="AH377" i="4"/>
  <c r="AF377" i="4"/>
  <c r="AE377" i="4"/>
  <c r="AK378" i="4"/>
  <c r="AJ378" i="4"/>
  <c r="AI378" i="4"/>
  <c r="AH378" i="4"/>
  <c r="AF378" i="4"/>
  <c r="AE378" i="4"/>
  <c r="AK379" i="4"/>
  <c r="AJ379" i="4"/>
  <c r="AI379" i="4"/>
  <c r="AH379" i="4"/>
  <c r="AF379" i="4"/>
  <c r="AE379" i="4"/>
  <c r="AK380" i="4"/>
  <c r="AJ380" i="4"/>
  <c r="AI380" i="4"/>
  <c r="AH380" i="4"/>
  <c r="AF380" i="4"/>
  <c r="AE380" i="4"/>
  <c r="AK381" i="4"/>
  <c r="AJ381" i="4"/>
  <c r="AI381" i="4"/>
  <c r="AH381" i="4"/>
  <c r="AF381" i="4"/>
  <c r="AE381" i="4"/>
  <c r="AK382" i="4"/>
  <c r="AJ382" i="4"/>
  <c r="AI382" i="4"/>
  <c r="AH382" i="4"/>
  <c r="AF382" i="4"/>
  <c r="AE382" i="4"/>
  <c r="AK383" i="4"/>
  <c r="AJ383" i="4"/>
  <c r="AI383" i="4"/>
  <c r="AH383" i="4"/>
  <c r="AF383" i="4"/>
  <c r="AE383" i="4"/>
  <c r="AK384" i="4"/>
  <c r="AJ384" i="4"/>
  <c r="AI384" i="4"/>
  <c r="AH384" i="4"/>
  <c r="AF384" i="4"/>
  <c r="AE384" i="4"/>
  <c r="AK385" i="4"/>
  <c r="AJ385" i="4"/>
  <c r="AI385" i="4"/>
  <c r="AH385" i="4"/>
  <c r="AF385" i="4"/>
  <c r="AE385" i="4"/>
  <c r="AK386" i="4"/>
  <c r="AJ386" i="4"/>
  <c r="AI386" i="4"/>
  <c r="AH386" i="4"/>
  <c r="AF386" i="4"/>
  <c r="AE386" i="4"/>
  <c r="AK387" i="4"/>
  <c r="AJ387" i="4"/>
  <c r="AI387" i="4"/>
  <c r="AH387" i="4"/>
  <c r="AF387" i="4"/>
  <c r="AE387" i="4"/>
  <c r="AK388" i="4"/>
  <c r="AJ388" i="4"/>
  <c r="AI388" i="4"/>
  <c r="AH388" i="4"/>
  <c r="AF388" i="4"/>
  <c r="AE388" i="4"/>
  <c r="AK389" i="4"/>
  <c r="AJ389" i="4"/>
  <c r="AI389" i="4"/>
  <c r="AH389" i="4"/>
  <c r="AF389" i="4"/>
  <c r="AE389" i="4"/>
  <c r="AK390" i="4"/>
  <c r="AJ390" i="4"/>
  <c r="AI390" i="4"/>
  <c r="AH390" i="4"/>
  <c r="AF390" i="4"/>
  <c r="AE390" i="4"/>
  <c r="AK391" i="4"/>
  <c r="AJ391" i="4"/>
  <c r="AI391" i="4"/>
  <c r="AH391" i="4"/>
  <c r="AF391" i="4"/>
  <c r="AE391" i="4"/>
  <c r="AK392" i="4"/>
  <c r="AJ392" i="4"/>
  <c r="AI392" i="4"/>
  <c r="AH392" i="4"/>
  <c r="AF392" i="4"/>
  <c r="AE392" i="4"/>
  <c r="AK393" i="4"/>
  <c r="AJ393" i="4"/>
  <c r="AI393" i="4"/>
  <c r="AH393" i="4"/>
  <c r="AF393" i="4"/>
  <c r="AE393" i="4"/>
  <c r="AK394" i="4"/>
  <c r="AJ394" i="4"/>
  <c r="AI394" i="4"/>
  <c r="AH394" i="4"/>
  <c r="AF394" i="4"/>
  <c r="AE394" i="4"/>
  <c r="AK395" i="4"/>
  <c r="AJ395" i="4"/>
  <c r="AI395" i="4"/>
  <c r="AH395" i="4"/>
  <c r="AF395" i="4"/>
  <c r="AE395" i="4"/>
  <c r="AK396" i="4"/>
  <c r="AJ396" i="4"/>
  <c r="AI396" i="4"/>
  <c r="AH396" i="4"/>
  <c r="AF396" i="4"/>
  <c r="AE396" i="4"/>
  <c r="AK397" i="4"/>
  <c r="AJ397" i="4"/>
  <c r="AI397" i="4"/>
  <c r="AH397" i="4"/>
  <c r="AF397" i="4"/>
  <c r="AE397" i="4"/>
  <c r="AK398" i="4"/>
  <c r="AJ398" i="4"/>
  <c r="AI398" i="4"/>
  <c r="AH398" i="4"/>
  <c r="AF398" i="4"/>
  <c r="AE398" i="4"/>
  <c r="AK399" i="4"/>
  <c r="AJ399" i="4"/>
  <c r="AI399" i="4"/>
  <c r="AH399" i="4"/>
  <c r="AF399" i="4"/>
  <c r="AE399" i="4"/>
  <c r="AK400" i="4"/>
  <c r="AJ400" i="4"/>
  <c r="AI400" i="4"/>
  <c r="AH400" i="4"/>
  <c r="AF400" i="4"/>
  <c r="AE400" i="4"/>
  <c r="AK401" i="4"/>
  <c r="AJ401" i="4"/>
  <c r="AI401" i="4"/>
  <c r="AH401" i="4"/>
  <c r="AF401" i="4"/>
  <c r="AE401" i="4"/>
  <c r="AK402" i="4"/>
  <c r="AJ402" i="4"/>
  <c r="AI402" i="4"/>
  <c r="AH402" i="4"/>
  <c r="AF402" i="4"/>
  <c r="AE402" i="4"/>
  <c r="AK403" i="4"/>
  <c r="AJ403" i="4"/>
  <c r="AI403" i="4"/>
  <c r="AH403" i="4"/>
  <c r="AF403" i="4"/>
  <c r="AE403" i="4"/>
  <c r="AK404" i="4"/>
  <c r="AJ404" i="4"/>
  <c r="AI404" i="4"/>
  <c r="AH404" i="4"/>
  <c r="AF404" i="4"/>
  <c r="AE404" i="4"/>
  <c r="AK405" i="4"/>
  <c r="AJ405" i="4"/>
  <c r="AI405" i="4"/>
  <c r="AH405" i="4"/>
  <c r="AF405" i="4"/>
  <c r="AE405" i="4"/>
  <c r="AK406" i="4"/>
  <c r="AJ406" i="4"/>
  <c r="AI406" i="4"/>
  <c r="AH406" i="4"/>
  <c r="AF406" i="4"/>
  <c r="AE406" i="4"/>
  <c r="AK407" i="4"/>
  <c r="AJ407" i="4"/>
  <c r="AI407" i="4"/>
  <c r="AH407" i="4"/>
  <c r="AF407" i="4"/>
  <c r="AE407" i="4"/>
  <c r="AK408" i="4"/>
  <c r="AJ408" i="4"/>
  <c r="AI408" i="4"/>
  <c r="AH408" i="4"/>
  <c r="AF408" i="4"/>
  <c r="AE408" i="4"/>
  <c r="AK409" i="4"/>
  <c r="AJ409" i="4"/>
  <c r="AI409" i="4"/>
  <c r="AH409" i="4"/>
  <c r="AF409" i="4"/>
  <c r="AE409" i="4"/>
  <c r="AK410" i="4"/>
  <c r="AJ410" i="4"/>
  <c r="AI410" i="4"/>
  <c r="AH410" i="4"/>
  <c r="AF410" i="4"/>
  <c r="AE410" i="4"/>
  <c r="AK411" i="4"/>
  <c r="AJ411" i="4"/>
  <c r="AI411" i="4"/>
  <c r="AH411" i="4"/>
  <c r="AF411" i="4"/>
  <c r="AE411" i="4"/>
  <c r="AK412" i="4"/>
  <c r="AJ412" i="4"/>
  <c r="AI412" i="4"/>
  <c r="AH412" i="4"/>
  <c r="AF412" i="4"/>
  <c r="AE412" i="4"/>
  <c r="AK413" i="4"/>
  <c r="AJ413" i="4"/>
  <c r="AI413" i="4"/>
  <c r="AH413" i="4"/>
  <c r="AF413" i="4"/>
  <c r="AE413" i="4"/>
  <c r="AK414" i="4"/>
  <c r="AJ414" i="4"/>
  <c r="AI414" i="4"/>
  <c r="AH414" i="4"/>
  <c r="AF414" i="4"/>
  <c r="AE414" i="4"/>
  <c r="AK415" i="4"/>
  <c r="AJ415" i="4"/>
  <c r="AI415" i="4"/>
  <c r="AH415" i="4"/>
  <c r="AF415" i="4"/>
  <c r="AE415" i="4"/>
  <c r="AK416" i="4"/>
  <c r="AJ416" i="4"/>
  <c r="AI416" i="4"/>
  <c r="AH416" i="4"/>
  <c r="AF416" i="4"/>
  <c r="AE416" i="4"/>
  <c r="AK417" i="4"/>
  <c r="AJ417" i="4"/>
  <c r="AI417" i="4"/>
  <c r="AH417" i="4"/>
  <c r="AF417" i="4"/>
  <c r="AE417" i="4"/>
  <c r="AK418" i="4"/>
  <c r="AJ418" i="4"/>
  <c r="AI418" i="4"/>
  <c r="AH418" i="4"/>
  <c r="AF418" i="4"/>
  <c r="AE418" i="4"/>
  <c r="AK419" i="4"/>
  <c r="AJ419" i="4"/>
  <c r="AI419" i="4"/>
  <c r="AH419" i="4"/>
  <c r="AF419" i="4"/>
  <c r="AE419" i="4"/>
  <c r="AK420" i="4"/>
  <c r="AJ420" i="4"/>
  <c r="AI420" i="4"/>
  <c r="AH420" i="4"/>
  <c r="AF420" i="4"/>
  <c r="AE420" i="4"/>
  <c r="AK421" i="4"/>
  <c r="AJ421" i="4"/>
  <c r="AI421" i="4"/>
  <c r="AH421" i="4"/>
  <c r="AF421" i="4"/>
  <c r="AE421" i="4"/>
  <c r="AK422" i="4"/>
  <c r="AJ422" i="4"/>
  <c r="AI422" i="4"/>
  <c r="AH422" i="4"/>
  <c r="AF422" i="4"/>
  <c r="AE422" i="4"/>
  <c r="AK423" i="4"/>
  <c r="AJ423" i="4"/>
  <c r="AI423" i="4"/>
  <c r="AH423" i="4"/>
  <c r="AF423" i="4"/>
  <c r="AE423" i="4"/>
  <c r="AK424" i="4"/>
  <c r="AJ424" i="4"/>
  <c r="AI424" i="4"/>
  <c r="AH424" i="4"/>
  <c r="AF424" i="4"/>
  <c r="AE424" i="4"/>
  <c r="AK425" i="4"/>
  <c r="AJ425" i="4"/>
  <c r="AI425" i="4"/>
  <c r="AH425" i="4"/>
  <c r="AF425" i="4"/>
  <c r="AE425" i="4"/>
  <c r="AK426" i="4"/>
  <c r="AJ426" i="4"/>
  <c r="AI426" i="4"/>
  <c r="AH426" i="4"/>
  <c r="AF426" i="4"/>
  <c r="AE426" i="4"/>
  <c r="AK427" i="4"/>
  <c r="AJ427" i="4"/>
  <c r="AI427" i="4"/>
  <c r="AH427" i="4"/>
  <c r="AF427" i="4"/>
  <c r="AE427" i="4"/>
  <c r="AK428" i="4"/>
  <c r="AJ428" i="4"/>
  <c r="AI428" i="4"/>
  <c r="AH428" i="4"/>
  <c r="AF428" i="4"/>
  <c r="AE428" i="4"/>
  <c r="AK429" i="4"/>
  <c r="AJ429" i="4"/>
  <c r="AI429" i="4"/>
  <c r="AH429" i="4"/>
  <c r="AF429" i="4"/>
  <c r="AE429" i="4"/>
  <c r="AK430" i="4"/>
  <c r="AJ430" i="4"/>
  <c r="AI430" i="4"/>
  <c r="AH430" i="4"/>
  <c r="AF430" i="4"/>
  <c r="AE430" i="4"/>
  <c r="AK431" i="4"/>
  <c r="AJ431" i="4"/>
  <c r="AI431" i="4"/>
  <c r="AH431" i="4"/>
  <c r="AF431" i="4"/>
  <c r="AE431" i="4"/>
  <c r="AK432" i="4"/>
  <c r="AJ432" i="4"/>
  <c r="AI432" i="4"/>
  <c r="AH432" i="4"/>
  <c r="AF432" i="4"/>
  <c r="AE432" i="4"/>
  <c r="AK433" i="4"/>
  <c r="AJ433" i="4"/>
  <c r="AI433" i="4"/>
  <c r="AH433" i="4"/>
  <c r="AF433" i="4"/>
  <c r="AE433" i="4"/>
  <c r="AK434" i="4"/>
  <c r="AJ434" i="4"/>
  <c r="AI434" i="4"/>
  <c r="AH434" i="4"/>
  <c r="AF434" i="4"/>
  <c r="AE434" i="4"/>
  <c r="AK435" i="4"/>
  <c r="AJ435" i="4"/>
  <c r="AI435" i="4"/>
  <c r="AH435" i="4"/>
  <c r="AF435" i="4"/>
  <c r="AE435" i="4"/>
  <c r="AK436" i="4"/>
  <c r="AJ436" i="4"/>
  <c r="AI436" i="4"/>
  <c r="AH436" i="4"/>
  <c r="AF436" i="4"/>
  <c r="AE436" i="4"/>
  <c r="AK437" i="4"/>
  <c r="AJ437" i="4"/>
  <c r="AI437" i="4"/>
  <c r="AH437" i="4"/>
  <c r="AF437" i="4"/>
  <c r="AE437" i="4"/>
  <c r="AK438" i="4"/>
  <c r="AJ438" i="4"/>
  <c r="AI438" i="4"/>
  <c r="AH438" i="4"/>
  <c r="AF438" i="4"/>
  <c r="AE438" i="4"/>
  <c r="AK439" i="4"/>
  <c r="AJ439" i="4"/>
  <c r="AI439" i="4"/>
  <c r="AH439" i="4"/>
  <c r="AF439" i="4"/>
  <c r="AE439" i="4"/>
  <c r="AK440" i="4"/>
  <c r="AJ440" i="4"/>
  <c r="AI440" i="4"/>
  <c r="AH440" i="4"/>
  <c r="AF440" i="4"/>
  <c r="AE440" i="4"/>
  <c r="AK441" i="4"/>
  <c r="AJ441" i="4"/>
  <c r="AI441" i="4"/>
  <c r="AH441" i="4"/>
  <c r="AF441" i="4"/>
  <c r="AE441" i="4"/>
  <c r="AK442" i="4"/>
  <c r="AJ442" i="4"/>
  <c r="AI442" i="4"/>
  <c r="AH442" i="4"/>
  <c r="AF442" i="4"/>
  <c r="AE442" i="4"/>
  <c r="AK443" i="4"/>
  <c r="AJ443" i="4"/>
  <c r="AI443" i="4"/>
  <c r="AH443" i="4"/>
  <c r="AF443" i="4"/>
  <c r="AE443" i="4"/>
  <c r="AK444" i="4"/>
  <c r="AJ444" i="4"/>
  <c r="AI444" i="4"/>
  <c r="AH444" i="4"/>
  <c r="AF444" i="4"/>
  <c r="AE444" i="4"/>
  <c r="AK445" i="4"/>
  <c r="AJ445" i="4"/>
  <c r="AI445" i="4"/>
  <c r="AH445" i="4"/>
  <c r="AF445" i="4"/>
  <c r="AE445" i="4"/>
  <c r="AK446" i="4"/>
  <c r="AJ446" i="4"/>
  <c r="AI446" i="4"/>
  <c r="AH446" i="4"/>
  <c r="AF446" i="4"/>
  <c r="AE446" i="4"/>
  <c r="AK447" i="4"/>
  <c r="AJ447" i="4"/>
  <c r="AI447" i="4"/>
  <c r="AH447" i="4"/>
  <c r="AF447" i="4"/>
  <c r="AE447" i="4"/>
  <c r="AK448" i="4"/>
  <c r="AJ448" i="4"/>
  <c r="AI448" i="4"/>
  <c r="AH448" i="4"/>
  <c r="AF448" i="4"/>
  <c r="AE448" i="4"/>
  <c r="AK449" i="4"/>
  <c r="AJ449" i="4"/>
  <c r="AI449" i="4"/>
  <c r="AH449" i="4"/>
  <c r="AF449" i="4"/>
  <c r="AE449" i="4"/>
  <c r="AK450" i="4"/>
  <c r="AJ450" i="4"/>
  <c r="AI450" i="4"/>
  <c r="AH450" i="4"/>
  <c r="AF450" i="4"/>
  <c r="AE450" i="4"/>
  <c r="AK451" i="4"/>
  <c r="AJ451" i="4"/>
  <c r="AI451" i="4"/>
  <c r="AH451" i="4"/>
  <c r="AF451" i="4"/>
  <c r="AE451" i="4"/>
  <c r="AK452" i="4"/>
  <c r="AJ452" i="4"/>
  <c r="AI452" i="4"/>
  <c r="AH452" i="4"/>
  <c r="AF452" i="4"/>
  <c r="AE452" i="4"/>
  <c r="AK453" i="4"/>
  <c r="AJ453" i="4"/>
  <c r="AI453" i="4"/>
  <c r="AH453" i="4"/>
  <c r="AF453" i="4"/>
  <c r="AE453" i="4"/>
  <c r="AK454" i="4"/>
  <c r="AJ454" i="4"/>
  <c r="AI454" i="4"/>
  <c r="AH454" i="4"/>
  <c r="AF454" i="4"/>
  <c r="AE454" i="4"/>
  <c r="AK455" i="4"/>
  <c r="AJ455" i="4"/>
  <c r="AI455" i="4"/>
  <c r="AH455" i="4"/>
  <c r="AF455" i="4"/>
  <c r="AE455" i="4"/>
  <c r="AK456" i="4"/>
  <c r="AJ456" i="4"/>
  <c r="AI456" i="4"/>
  <c r="AH456" i="4"/>
  <c r="AF456" i="4"/>
  <c r="AE456" i="4"/>
  <c r="AK457" i="4"/>
  <c r="AJ457" i="4"/>
  <c r="AI457" i="4"/>
  <c r="AH457" i="4"/>
  <c r="AF457" i="4"/>
  <c r="AE457" i="4"/>
  <c r="AK458" i="4"/>
  <c r="AJ458" i="4"/>
  <c r="AI458" i="4"/>
  <c r="AH458" i="4"/>
  <c r="AF458" i="4"/>
  <c r="AE458" i="4"/>
  <c r="AK459" i="4"/>
  <c r="AJ459" i="4"/>
  <c r="AI459" i="4"/>
  <c r="AH459" i="4"/>
  <c r="AF459" i="4"/>
  <c r="AE459" i="4"/>
  <c r="AK460" i="4"/>
  <c r="AJ460" i="4"/>
  <c r="AI460" i="4"/>
  <c r="AH460" i="4"/>
  <c r="AF460" i="4"/>
  <c r="AE460" i="4"/>
  <c r="AK461" i="4"/>
  <c r="AJ461" i="4"/>
  <c r="AI461" i="4"/>
  <c r="AH461" i="4"/>
  <c r="AF461" i="4"/>
  <c r="AE461" i="4"/>
  <c r="AK462" i="4"/>
  <c r="AJ462" i="4"/>
  <c r="AI462" i="4"/>
  <c r="AH462" i="4"/>
  <c r="AF462" i="4"/>
  <c r="AE462" i="4"/>
  <c r="AK463" i="4"/>
  <c r="AJ463" i="4"/>
  <c r="AI463" i="4"/>
  <c r="AH463" i="4"/>
  <c r="AF463" i="4"/>
  <c r="AE463" i="4"/>
  <c r="AK464" i="4"/>
  <c r="AJ464" i="4"/>
  <c r="AI464" i="4"/>
  <c r="AH464" i="4"/>
  <c r="AF464" i="4"/>
  <c r="AE464" i="4"/>
  <c r="AK465" i="4"/>
  <c r="AJ465" i="4"/>
  <c r="AI465" i="4"/>
  <c r="AH465" i="4"/>
  <c r="AF465" i="4"/>
  <c r="AE465" i="4"/>
  <c r="AK466" i="4"/>
  <c r="AJ466" i="4"/>
  <c r="AI466" i="4"/>
  <c r="AH466" i="4"/>
  <c r="AF466" i="4"/>
  <c r="AE466" i="4"/>
  <c r="AK467" i="4"/>
  <c r="AJ467" i="4"/>
  <c r="AI467" i="4"/>
  <c r="AH467" i="4"/>
  <c r="AF467" i="4"/>
  <c r="AE467" i="4"/>
  <c r="AK468" i="4"/>
  <c r="AJ468" i="4"/>
  <c r="AI468" i="4"/>
  <c r="AH468" i="4"/>
  <c r="AF468" i="4"/>
  <c r="AE468" i="4"/>
  <c r="AK469" i="4"/>
  <c r="AJ469" i="4"/>
  <c r="AI469" i="4"/>
  <c r="AH469" i="4"/>
  <c r="AF469" i="4"/>
  <c r="AE469" i="4"/>
  <c r="AK470" i="4"/>
  <c r="AJ470" i="4"/>
  <c r="AI470" i="4"/>
  <c r="AH470" i="4"/>
  <c r="AF470" i="4"/>
  <c r="AE470" i="4"/>
  <c r="AK471" i="4"/>
  <c r="AJ471" i="4"/>
  <c r="AI471" i="4"/>
  <c r="AH471" i="4"/>
  <c r="AF471" i="4"/>
  <c r="AE471" i="4"/>
  <c r="AK472" i="4"/>
  <c r="AJ472" i="4"/>
  <c r="AI472" i="4"/>
  <c r="AH472" i="4"/>
  <c r="AF472" i="4"/>
  <c r="AE472" i="4"/>
  <c r="AK473" i="4"/>
  <c r="AJ473" i="4"/>
  <c r="AI473" i="4"/>
  <c r="AH473" i="4"/>
  <c r="AF473" i="4"/>
  <c r="AE473" i="4"/>
  <c r="AK474" i="4"/>
  <c r="AJ474" i="4"/>
  <c r="AI474" i="4"/>
  <c r="AH474" i="4"/>
  <c r="AF474" i="4"/>
  <c r="AE474" i="4"/>
  <c r="AK475" i="4"/>
  <c r="AJ475" i="4"/>
  <c r="AI475" i="4"/>
  <c r="AH475" i="4"/>
  <c r="AF475" i="4"/>
  <c r="AE475" i="4"/>
  <c r="AK476" i="4"/>
  <c r="AJ476" i="4"/>
  <c r="AI476" i="4"/>
  <c r="AH476" i="4"/>
  <c r="AF476" i="4"/>
  <c r="AE476" i="4"/>
  <c r="AK477" i="4"/>
  <c r="AJ477" i="4"/>
  <c r="AI477" i="4"/>
  <c r="AH477" i="4"/>
  <c r="AF477" i="4"/>
  <c r="AE477" i="4"/>
  <c r="AK478" i="4"/>
  <c r="AJ478" i="4"/>
  <c r="AI478" i="4"/>
  <c r="AH478" i="4"/>
  <c r="AF478" i="4"/>
  <c r="AE478" i="4"/>
  <c r="AK479" i="4"/>
  <c r="AJ479" i="4"/>
  <c r="AI479" i="4"/>
  <c r="AH479" i="4"/>
  <c r="AF479" i="4"/>
  <c r="AE479" i="4"/>
  <c r="AK480" i="4"/>
  <c r="AJ480" i="4"/>
  <c r="AI480" i="4"/>
  <c r="AH480" i="4"/>
  <c r="AF480" i="4"/>
  <c r="AE480" i="4"/>
  <c r="AK481" i="4"/>
  <c r="AJ481" i="4"/>
  <c r="AI481" i="4"/>
  <c r="AH481" i="4"/>
  <c r="AF481" i="4"/>
  <c r="AE481" i="4"/>
  <c r="AK482" i="4"/>
  <c r="AJ482" i="4"/>
  <c r="AI482" i="4"/>
  <c r="AH482" i="4"/>
  <c r="AF482" i="4"/>
  <c r="AE482" i="4"/>
  <c r="AK483" i="4"/>
  <c r="AJ483" i="4"/>
  <c r="AI483" i="4"/>
  <c r="AH483" i="4"/>
  <c r="AF483" i="4"/>
  <c r="AE483" i="4"/>
  <c r="AK484" i="4"/>
  <c r="AJ484" i="4"/>
  <c r="AI484" i="4"/>
  <c r="AH484" i="4"/>
  <c r="AF484" i="4"/>
  <c r="AE484" i="4"/>
  <c r="AK485" i="4"/>
  <c r="AJ485" i="4"/>
  <c r="AI485" i="4"/>
  <c r="AH485" i="4"/>
  <c r="AF485" i="4"/>
  <c r="AE485" i="4"/>
  <c r="AK486" i="4"/>
  <c r="AJ486" i="4"/>
  <c r="AI486" i="4"/>
  <c r="AH486" i="4"/>
  <c r="AF486" i="4"/>
  <c r="AE486" i="4"/>
  <c r="AK487" i="4"/>
  <c r="AJ487" i="4"/>
  <c r="AI487" i="4"/>
  <c r="AH487" i="4"/>
  <c r="AF487" i="4"/>
  <c r="AE487" i="4"/>
  <c r="AK488" i="4"/>
  <c r="AJ488" i="4"/>
  <c r="AI488" i="4"/>
  <c r="AH488" i="4"/>
  <c r="AF488" i="4"/>
  <c r="AE488" i="4"/>
  <c r="AK489" i="4"/>
  <c r="AJ489" i="4"/>
  <c r="AI489" i="4"/>
  <c r="AH489" i="4"/>
  <c r="AF489" i="4"/>
  <c r="AE489" i="4"/>
  <c r="AK490" i="4"/>
  <c r="AJ490" i="4"/>
  <c r="AI490" i="4"/>
  <c r="AH490" i="4"/>
  <c r="AF490" i="4"/>
  <c r="AE490" i="4"/>
  <c r="AK491" i="4"/>
  <c r="AJ491" i="4"/>
  <c r="AI491" i="4"/>
  <c r="AH491" i="4"/>
  <c r="AF491" i="4"/>
  <c r="AE491" i="4"/>
  <c r="AK492" i="4"/>
  <c r="AJ492" i="4"/>
  <c r="AI492" i="4"/>
  <c r="AH492" i="4"/>
  <c r="AF492" i="4"/>
  <c r="AE492" i="4"/>
  <c r="AK493" i="4"/>
  <c r="AJ493" i="4"/>
  <c r="AI493" i="4"/>
  <c r="AH493" i="4"/>
  <c r="AF493" i="4"/>
  <c r="AE493" i="4"/>
  <c r="AK494" i="4"/>
  <c r="AJ494" i="4"/>
  <c r="AI494" i="4"/>
  <c r="AH494" i="4"/>
  <c r="AF494" i="4"/>
  <c r="AE494" i="4"/>
  <c r="AK495" i="4"/>
  <c r="AJ495" i="4"/>
  <c r="AI495" i="4"/>
  <c r="AH495" i="4"/>
  <c r="AF495" i="4"/>
  <c r="AE495" i="4"/>
  <c r="AK496" i="4"/>
  <c r="AJ496" i="4"/>
  <c r="AI496" i="4"/>
  <c r="AH496" i="4"/>
  <c r="AF496" i="4"/>
  <c r="AE496" i="4"/>
  <c r="AK497" i="4"/>
  <c r="AJ497" i="4"/>
  <c r="AI497" i="4"/>
  <c r="AH497" i="4"/>
  <c r="AF497" i="4"/>
  <c r="AE497" i="4"/>
  <c r="AK498" i="4"/>
  <c r="AJ498" i="4"/>
  <c r="AI498" i="4"/>
  <c r="AH498" i="4"/>
  <c r="AF498" i="4"/>
  <c r="AE498" i="4"/>
  <c r="AK499" i="4"/>
  <c r="AJ499" i="4"/>
  <c r="AI499" i="4"/>
  <c r="AH499" i="4"/>
  <c r="AF499" i="4"/>
  <c r="AE499" i="4"/>
  <c r="AK500" i="4"/>
  <c r="AJ500" i="4"/>
  <c r="AI500" i="4"/>
  <c r="AH500" i="4"/>
  <c r="AF500" i="4"/>
  <c r="AE500" i="4"/>
  <c r="AK501" i="4"/>
  <c r="AJ501" i="4"/>
  <c r="AI501" i="4"/>
  <c r="AH501" i="4"/>
  <c r="AF501" i="4"/>
  <c r="AE501" i="4"/>
  <c r="AK502" i="4"/>
  <c r="AJ502" i="4"/>
  <c r="AI502" i="4"/>
  <c r="AH502" i="4"/>
  <c r="AF502" i="4"/>
  <c r="AE502" i="4"/>
  <c r="AK503" i="4"/>
  <c r="AJ503" i="4"/>
  <c r="AI503" i="4"/>
  <c r="AH503" i="4"/>
  <c r="AF503" i="4"/>
  <c r="AE503" i="4"/>
  <c r="AK504" i="4"/>
  <c r="AJ504" i="4"/>
  <c r="AI504" i="4"/>
  <c r="AH504" i="4"/>
  <c r="AF504" i="4"/>
  <c r="AE504" i="4"/>
  <c r="AK505" i="4"/>
  <c r="AJ505" i="4"/>
  <c r="AI505" i="4"/>
  <c r="AH505" i="4"/>
  <c r="AF505" i="4"/>
  <c r="AE505" i="4"/>
  <c r="AK506" i="4"/>
  <c r="AJ506" i="4"/>
  <c r="AI506" i="4"/>
  <c r="AH506" i="4"/>
  <c r="AF506" i="4"/>
  <c r="AE506" i="4"/>
  <c r="AK507" i="4"/>
  <c r="AJ507" i="4"/>
  <c r="AI507" i="4"/>
  <c r="AH507" i="4"/>
  <c r="AF507" i="4"/>
  <c r="AE507" i="4"/>
  <c r="AK508" i="4"/>
  <c r="AJ508" i="4"/>
  <c r="AI508" i="4"/>
  <c r="AH508" i="4"/>
  <c r="AF508" i="4"/>
  <c r="AE508" i="4"/>
  <c r="AK509" i="4"/>
  <c r="AJ509" i="4"/>
  <c r="AI509" i="4"/>
  <c r="AH509" i="4"/>
  <c r="AF509" i="4"/>
  <c r="AE509" i="4"/>
  <c r="AK510" i="4"/>
  <c r="AJ510" i="4"/>
  <c r="AI510" i="4"/>
  <c r="AH510" i="4"/>
  <c r="AF510" i="4"/>
  <c r="AE510" i="4"/>
  <c r="AK511" i="4"/>
  <c r="AJ511" i="4"/>
  <c r="AI511" i="4"/>
  <c r="AH511" i="4"/>
  <c r="AF511" i="4"/>
  <c r="AE511" i="4"/>
  <c r="AK512" i="4"/>
  <c r="AJ512" i="4"/>
  <c r="AI512" i="4"/>
  <c r="AH512" i="4"/>
  <c r="AF512" i="4"/>
  <c r="AE512" i="4"/>
  <c r="AK513" i="4"/>
  <c r="AJ513" i="4"/>
  <c r="AI513" i="4"/>
  <c r="AH513" i="4"/>
  <c r="AF513" i="4"/>
  <c r="AE513" i="4"/>
  <c r="AK514" i="4"/>
  <c r="AJ514" i="4"/>
  <c r="AI514" i="4"/>
  <c r="AH514" i="4"/>
  <c r="AF514" i="4"/>
  <c r="AE514" i="4"/>
  <c r="AK515" i="4"/>
  <c r="AJ515" i="4"/>
  <c r="AI515" i="4"/>
  <c r="AH515" i="4"/>
  <c r="AF515" i="4"/>
  <c r="AE515" i="4"/>
  <c r="AK516" i="4"/>
  <c r="AJ516" i="4"/>
  <c r="AI516" i="4"/>
  <c r="AH516" i="4"/>
  <c r="AF516" i="4"/>
  <c r="AE516" i="4"/>
  <c r="AK517" i="4"/>
  <c r="AJ517" i="4"/>
  <c r="AI517" i="4"/>
  <c r="AH517" i="4"/>
  <c r="AF517" i="4"/>
  <c r="AE517" i="4"/>
  <c r="AK518" i="4"/>
  <c r="AJ518" i="4"/>
  <c r="AI518" i="4"/>
  <c r="AH518" i="4"/>
  <c r="AF518" i="4"/>
  <c r="AE518" i="4"/>
  <c r="AK519" i="4"/>
  <c r="AJ519" i="4"/>
  <c r="AI519" i="4"/>
  <c r="AH519" i="4"/>
  <c r="AF519" i="4"/>
  <c r="AE519" i="4"/>
  <c r="AK520" i="4"/>
  <c r="AJ520" i="4"/>
  <c r="AI520" i="4"/>
  <c r="AH520" i="4"/>
  <c r="AF520" i="4"/>
  <c r="AE520" i="4"/>
  <c r="AK521" i="4"/>
  <c r="AJ521" i="4"/>
  <c r="AI521" i="4"/>
  <c r="AH521" i="4"/>
  <c r="AF521" i="4"/>
  <c r="AE521" i="4"/>
  <c r="AK522" i="4"/>
  <c r="AJ522" i="4"/>
  <c r="AI522" i="4"/>
  <c r="AH522" i="4"/>
  <c r="AF522" i="4"/>
  <c r="AE522" i="4"/>
  <c r="AK523" i="4"/>
  <c r="AJ523" i="4"/>
  <c r="AI523" i="4"/>
  <c r="AH523" i="4"/>
  <c r="AF523" i="4"/>
  <c r="AE523" i="4"/>
  <c r="AK524" i="4"/>
  <c r="AJ524" i="4"/>
  <c r="AI524" i="4"/>
  <c r="AH524" i="4"/>
  <c r="AF524" i="4"/>
  <c r="AE524" i="4"/>
  <c r="AK525" i="4"/>
  <c r="AJ525" i="4"/>
  <c r="AI525" i="4"/>
  <c r="AH525" i="4"/>
  <c r="AF525" i="4"/>
  <c r="AE525" i="4"/>
  <c r="AK526" i="4"/>
  <c r="AJ526" i="4"/>
  <c r="AI526" i="4"/>
  <c r="AH526" i="4"/>
  <c r="AF526" i="4"/>
  <c r="AE526" i="4"/>
  <c r="AK527" i="4"/>
  <c r="AJ527" i="4"/>
  <c r="AI527" i="4"/>
  <c r="AH527" i="4"/>
  <c r="AF527" i="4"/>
  <c r="AE527" i="4"/>
  <c r="AK528" i="4"/>
  <c r="AJ528" i="4"/>
  <c r="AI528" i="4"/>
  <c r="AH528" i="4"/>
  <c r="AF528" i="4"/>
  <c r="AE528" i="4"/>
  <c r="AK529" i="4"/>
  <c r="AJ529" i="4"/>
  <c r="AI529" i="4"/>
  <c r="AH529" i="4"/>
  <c r="AF529" i="4"/>
  <c r="AE529" i="4"/>
  <c r="AK530" i="4"/>
  <c r="AJ530" i="4"/>
  <c r="AI530" i="4"/>
  <c r="AH530" i="4"/>
  <c r="AF530" i="4"/>
  <c r="AE530" i="4"/>
  <c r="AK531" i="4"/>
  <c r="AJ531" i="4"/>
  <c r="AI531" i="4"/>
  <c r="AH531" i="4"/>
  <c r="AF531" i="4"/>
  <c r="AE531" i="4"/>
  <c r="AK532" i="4"/>
  <c r="AJ532" i="4"/>
  <c r="AI532" i="4"/>
  <c r="AH532" i="4"/>
  <c r="AF532" i="4"/>
  <c r="AE532" i="4"/>
  <c r="AK533" i="4"/>
  <c r="AJ533" i="4"/>
  <c r="AI533" i="4"/>
  <c r="AH533" i="4"/>
  <c r="AF533" i="4"/>
  <c r="AE533" i="4"/>
  <c r="AK534" i="4"/>
  <c r="AJ534" i="4"/>
  <c r="AI534" i="4"/>
  <c r="AH534" i="4"/>
  <c r="AF534" i="4"/>
  <c r="AE534" i="4"/>
  <c r="AK535" i="4"/>
  <c r="AJ535" i="4"/>
  <c r="AI535" i="4"/>
  <c r="AH535" i="4"/>
  <c r="AF535" i="4"/>
  <c r="AE535" i="4"/>
  <c r="AK536" i="4"/>
  <c r="AJ536" i="4"/>
  <c r="AI536" i="4"/>
  <c r="AH536" i="4"/>
  <c r="AF536" i="4"/>
  <c r="AE536" i="4"/>
  <c r="AK537" i="4"/>
  <c r="AJ537" i="4"/>
  <c r="AI537" i="4"/>
  <c r="AH537" i="4"/>
  <c r="AF537" i="4"/>
  <c r="AE537" i="4"/>
  <c r="AK538" i="4"/>
  <c r="AJ538" i="4"/>
  <c r="AI538" i="4"/>
  <c r="AH538" i="4"/>
  <c r="AF538" i="4"/>
  <c r="AE538" i="4"/>
  <c r="AK539" i="4"/>
  <c r="AJ539" i="4"/>
  <c r="AI539" i="4"/>
  <c r="AH539" i="4"/>
  <c r="AF539" i="4"/>
  <c r="AE539" i="4"/>
  <c r="AK540" i="4"/>
  <c r="AJ540" i="4"/>
  <c r="AI540" i="4"/>
  <c r="AH540" i="4"/>
  <c r="AF540" i="4"/>
  <c r="AE540" i="4"/>
  <c r="AK541" i="4"/>
  <c r="AJ541" i="4"/>
  <c r="AI541" i="4"/>
  <c r="AH541" i="4"/>
  <c r="AF541" i="4"/>
  <c r="AE541" i="4"/>
  <c r="AK542" i="4"/>
  <c r="AJ542" i="4"/>
  <c r="AI542" i="4"/>
  <c r="AH542" i="4"/>
  <c r="AF542" i="4"/>
  <c r="AE542" i="4"/>
  <c r="AK543" i="4"/>
  <c r="AJ543" i="4"/>
  <c r="AI543" i="4"/>
  <c r="AH543" i="4"/>
  <c r="AF543" i="4"/>
  <c r="AE543" i="4"/>
  <c r="AK544" i="4"/>
  <c r="AJ544" i="4"/>
  <c r="AI544" i="4"/>
  <c r="AH544" i="4"/>
  <c r="AF544" i="4"/>
  <c r="AE544" i="4"/>
  <c r="AK545" i="4"/>
  <c r="AJ545" i="4"/>
  <c r="AI545" i="4"/>
  <c r="AH545" i="4"/>
  <c r="AF545" i="4"/>
  <c r="AE545" i="4"/>
  <c r="AK546" i="4"/>
  <c r="AJ546" i="4"/>
  <c r="AI546" i="4"/>
  <c r="AH546" i="4"/>
  <c r="AF546" i="4"/>
  <c r="AE546" i="4"/>
  <c r="AK547" i="4"/>
  <c r="AJ547" i="4"/>
  <c r="AI547" i="4"/>
  <c r="AH547" i="4"/>
  <c r="AF547" i="4"/>
  <c r="AE547" i="4"/>
  <c r="AK548" i="4"/>
  <c r="AJ548" i="4"/>
  <c r="AI548" i="4"/>
  <c r="AH548" i="4"/>
  <c r="AF548" i="4"/>
  <c r="AE548" i="4"/>
  <c r="AK549" i="4"/>
  <c r="AJ549" i="4"/>
  <c r="AI549" i="4"/>
  <c r="AH549" i="4"/>
  <c r="AF549" i="4"/>
  <c r="AE549" i="4"/>
  <c r="AK550" i="4"/>
  <c r="AJ550" i="4"/>
  <c r="AI550" i="4"/>
  <c r="AH550" i="4"/>
  <c r="AF550" i="4"/>
  <c r="AE550" i="4"/>
  <c r="AK551" i="4"/>
  <c r="AJ551" i="4"/>
  <c r="AI551" i="4"/>
  <c r="AH551" i="4"/>
  <c r="AF551" i="4"/>
  <c r="AE551" i="4"/>
  <c r="AK552" i="4"/>
  <c r="AJ552" i="4"/>
  <c r="AI552" i="4"/>
  <c r="AH552" i="4"/>
  <c r="AF552" i="4"/>
  <c r="AE552" i="4"/>
  <c r="AK553" i="4"/>
  <c r="AJ553" i="4"/>
  <c r="AI553" i="4"/>
  <c r="AH553" i="4"/>
  <c r="AF553" i="4"/>
  <c r="AE553" i="4"/>
  <c r="AK554" i="4"/>
  <c r="AJ554" i="4"/>
  <c r="AI554" i="4"/>
  <c r="AH554" i="4"/>
  <c r="AF554" i="4"/>
  <c r="AE554" i="4"/>
  <c r="AK555" i="4"/>
  <c r="AJ555" i="4"/>
  <c r="AI555" i="4"/>
  <c r="AH555" i="4"/>
  <c r="AF555" i="4"/>
  <c r="AE555" i="4"/>
  <c r="AK556" i="4"/>
  <c r="AJ556" i="4"/>
  <c r="AI556" i="4"/>
  <c r="AH556" i="4"/>
  <c r="AF556" i="4"/>
  <c r="AE556" i="4"/>
  <c r="AK557" i="4"/>
  <c r="AJ557" i="4"/>
  <c r="AI557" i="4"/>
  <c r="AH557" i="4"/>
  <c r="AF557" i="4"/>
  <c r="AE557" i="4"/>
  <c r="AK558" i="4"/>
  <c r="AJ558" i="4"/>
  <c r="AI558" i="4"/>
  <c r="AH558" i="4"/>
  <c r="AF558" i="4"/>
  <c r="AE558" i="4"/>
  <c r="AK559" i="4"/>
  <c r="AJ559" i="4"/>
  <c r="AI559" i="4"/>
  <c r="AH559" i="4"/>
  <c r="AF559" i="4"/>
  <c r="AE559" i="4"/>
  <c r="AK560" i="4"/>
  <c r="AJ560" i="4"/>
  <c r="AI560" i="4"/>
  <c r="AH560" i="4"/>
  <c r="AF560" i="4"/>
  <c r="AE560" i="4"/>
  <c r="AK561" i="4"/>
  <c r="AJ561" i="4"/>
  <c r="AI561" i="4"/>
  <c r="AH561" i="4"/>
  <c r="AF561" i="4"/>
  <c r="AE561" i="4"/>
  <c r="AK562" i="4"/>
  <c r="AJ562" i="4"/>
  <c r="AI562" i="4"/>
  <c r="AH562" i="4"/>
  <c r="AF562" i="4"/>
  <c r="AE562" i="4"/>
  <c r="AK563" i="4"/>
  <c r="AJ563" i="4"/>
  <c r="AI563" i="4"/>
  <c r="AH563" i="4"/>
  <c r="AF563" i="4"/>
  <c r="AE563" i="4"/>
  <c r="AK564" i="4"/>
  <c r="AJ564" i="4"/>
  <c r="AI564" i="4"/>
  <c r="AH564" i="4"/>
  <c r="AF564" i="4"/>
  <c r="AE564" i="4"/>
  <c r="AK565" i="4"/>
  <c r="AJ565" i="4"/>
  <c r="AI565" i="4"/>
  <c r="AH565" i="4"/>
  <c r="AF565" i="4"/>
  <c r="AE565" i="4"/>
  <c r="AK566" i="4"/>
  <c r="AJ566" i="4"/>
  <c r="AI566" i="4"/>
  <c r="AH566" i="4"/>
  <c r="AF566" i="4"/>
  <c r="AE566" i="4"/>
  <c r="AK567" i="4"/>
  <c r="AJ567" i="4"/>
  <c r="AI567" i="4"/>
  <c r="AH567" i="4"/>
  <c r="AF567" i="4"/>
  <c r="AE567" i="4"/>
  <c r="AK568" i="4"/>
  <c r="AJ568" i="4"/>
  <c r="AI568" i="4"/>
  <c r="AH568" i="4"/>
  <c r="AF568" i="4"/>
  <c r="AE568" i="4"/>
  <c r="AK569" i="4"/>
  <c r="AJ569" i="4"/>
  <c r="AI569" i="4"/>
  <c r="AH569" i="4"/>
  <c r="AF569" i="4"/>
  <c r="AE569" i="4"/>
  <c r="AK570" i="4"/>
  <c r="AJ570" i="4"/>
  <c r="AI570" i="4"/>
  <c r="AH570" i="4"/>
  <c r="AF570" i="4"/>
  <c r="AE570" i="4"/>
  <c r="AK571" i="4"/>
  <c r="AJ571" i="4"/>
  <c r="AI571" i="4"/>
  <c r="AH571" i="4"/>
  <c r="AF571" i="4"/>
  <c r="AE571" i="4"/>
  <c r="AK572" i="4"/>
  <c r="AJ572" i="4"/>
  <c r="AI572" i="4"/>
  <c r="AH572" i="4"/>
  <c r="AF572" i="4"/>
  <c r="AE572" i="4"/>
  <c r="AK573" i="4"/>
  <c r="AJ573" i="4"/>
  <c r="AI573" i="4"/>
  <c r="AH573" i="4"/>
  <c r="AF573" i="4"/>
  <c r="AE573" i="4"/>
  <c r="AK574" i="4"/>
  <c r="AJ574" i="4"/>
  <c r="AI574" i="4"/>
  <c r="AH574" i="4"/>
  <c r="AF574" i="4"/>
  <c r="AE574" i="4"/>
  <c r="AK575" i="4"/>
  <c r="AJ575" i="4"/>
  <c r="AI575" i="4"/>
  <c r="AH575" i="4"/>
  <c r="AF575" i="4"/>
  <c r="AE575" i="4"/>
  <c r="AK576" i="4"/>
  <c r="AJ576" i="4"/>
  <c r="AI576" i="4"/>
  <c r="AH576" i="4"/>
  <c r="AF576" i="4"/>
  <c r="AE576" i="4"/>
  <c r="AK577" i="4"/>
  <c r="AJ577" i="4"/>
  <c r="AI577" i="4"/>
  <c r="AH577" i="4"/>
  <c r="AF577" i="4"/>
  <c r="AE577" i="4"/>
  <c r="AK578" i="4"/>
  <c r="AJ578" i="4"/>
  <c r="AI578" i="4"/>
  <c r="AH578" i="4"/>
  <c r="AF578" i="4"/>
  <c r="AE578" i="4"/>
  <c r="AK579" i="4"/>
  <c r="AJ579" i="4"/>
  <c r="AI579" i="4"/>
  <c r="AH579" i="4"/>
  <c r="AF579" i="4"/>
  <c r="AE579" i="4"/>
  <c r="AK580" i="4"/>
  <c r="AJ580" i="4"/>
  <c r="AI580" i="4"/>
  <c r="AH580" i="4"/>
  <c r="AF580" i="4"/>
  <c r="AE580" i="4"/>
  <c r="AK581" i="4"/>
  <c r="AJ581" i="4"/>
  <c r="AI581" i="4"/>
  <c r="AH581" i="4"/>
  <c r="AF581" i="4"/>
  <c r="AE581" i="4"/>
  <c r="AK582" i="4"/>
  <c r="AJ582" i="4"/>
  <c r="AI582" i="4"/>
  <c r="AH582" i="4"/>
  <c r="AF582" i="4"/>
  <c r="AE582" i="4"/>
  <c r="AK583" i="4"/>
  <c r="AJ583" i="4"/>
  <c r="AI583" i="4"/>
  <c r="AH583" i="4"/>
  <c r="AF583" i="4"/>
  <c r="AE583" i="4"/>
  <c r="AK584" i="4"/>
  <c r="AJ584" i="4"/>
  <c r="AI584" i="4"/>
  <c r="AH584" i="4"/>
  <c r="AF584" i="4"/>
  <c r="AE584" i="4"/>
  <c r="AK585" i="4"/>
  <c r="AJ585" i="4"/>
  <c r="AI585" i="4"/>
  <c r="AH585" i="4"/>
  <c r="AF585" i="4"/>
  <c r="AE585" i="4"/>
  <c r="AK586" i="4"/>
  <c r="AJ586" i="4"/>
  <c r="AI586" i="4"/>
  <c r="AH586" i="4"/>
  <c r="AF586" i="4"/>
  <c r="AE586" i="4"/>
  <c r="AK587" i="4"/>
  <c r="AJ587" i="4"/>
  <c r="AI587" i="4"/>
  <c r="AH587" i="4"/>
  <c r="AF587" i="4"/>
  <c r="AE587" i="4"/>
  <c r="AK588" i="4"/>
  <c r="AJ588" i="4"/>
  <c r="AI588" i="4"/>
  <c r="AH588" i="4"/>
  <c r="AF588" i="4"/>
  <c r="AE588" i="4"/>
  <c r="AK589" i="4"/>
  <c r="AJ589" i="4"/>
  <c r="AI589" i="4"/>
  <c r="AH589" i="4"/>
  <c r="AF589" i="4"/>
  <c r="AE589" i="4"/>
  <c r="AK590" i="4"/>
  <c r="AJ590" i="4"/>
  <c r="AI590" i="4"/>
  <c r="AH590" i="4"/>
  <c r="AF590" i="4"/>
  <c r="AE590" i="4"/>
  <c r="AK591" i="4"/>
  <c r="AJ591" i="4"/>
  <c r="AI591" i="4"/>
  <c r="AH591" i="4"/>
  <c r="AF591" i="4"/>
  <c r="AE591" i="4"/>
  <c r="AK592" i="4"/>
  <c r="AJ592" i="4"/>
  <c r="AI592" i="4"/>
  <c r="AH592" i="4"/>
  <c r="AF592" i="4"/>
  <c r="AE592" i="4"/>
  <c r="AK593" i="4"/>
  <c r="AJ593" i="4"/>
  <c r="AI593" i="4"/>
  <c r="AH593" i="4"/>
  <c r="AF593" i="4"/>
  <c r="AE593" i="4"/>
  <c r="AK594" i="4"/>
  <c r="AJ594" i="4"/>
  <c r="AI594" i="4"/>
  <c r="AH594" i="4"/>
  <c r="AF594" i="4"/>
  <c r="AE594" i="4"/>
  <c r="AK595" i="4"/>
  <c r="AJ595" i="4"/>
  <c r="AI595" i="4"/>
  <c r="AH595" i="4"/>
  <c r="AF595" i="4"/>
  <c r="AE595" i="4"/>
  <c r="AK596" i="4"/>
  <c r="AJ596" i="4"/>
  <c r="AI596" i="4"/>
  <c r="AH596" i="4"/>
  <c r="AF596" i="4"/>
  <c r="AE596" i="4"/>
  <c r="AK597" i="4"/>
  <c r="AJ597" i="4"/>
  <c r="AI597" i="4"/>
  <c r="AH597" i="4"/>
  <c r="AF597" i="4"/>
  <c r="AE597" i="4"/>
  <c r="AK598" i="4"/>
  <c r="AJ598" i="4"/>
  <c r="AI598" i="4"/>
  <c r="AH598" i="4"/>
  <c r="AF598" i="4"/>
  <c r="AE598" i="4"/>
  <c r="AE599" i="4"/>
  <c r="J599" i="4"/>
  <c r="G599" i="4"/>
  <c r="J598" i="4"/>
  <c r="G598" i="4"/>
  <c r="G597" i="4"/>
  <c r="G596" i="4"/>
  <c r="G595" i="4"/>
  <c r="G594" i="4"/>
  <c r="G593" i="4"/>
  <c r="G592" i="4"/>
  <c r="G591" i="4"/>
  <c r="G590" i="4"/>
  <c r="G589" i="4"/>
  <c r="G588" i="4"/>
  <c r="G587" i="4"/>
  <c r="G586" i="4"/>
  <c r="G585" i="4"/>
  <c r="G584" i="4"/>
  <c r="G583" i="4"/>
  <c r="G582" i="4"/>
  <c r="G581"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1" i="4"/>
  <c r="G540"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40" i="4"/>
  <c r="G439" i="4"/>
  <c r="G438" i="4"/>
  <c r="G437" i="4"/>
  <c r="G436" i="4"/>
  <c r="G435" i="4"/>
  <c r="G434" i="4"/>
  <c r="G433" i="4"/>
  <c r="G432" i="4"/>
  <c r="G431" i="4"/>
  <c r="G430" i="4"/>
  <c r="G429" i="4"/>
  <c r="G428" i="4"/>
  <c r="G427" i="4"/>
  <c r="G426" i="4"/>
  <c r="G425" i="4"/>
  <c r="G424" i="4"/>
  <c r="G423" i="4"/>
  <c r="G422" i="4"/>
  <c r="G421" i="4"/>
  <c r="G420" i="4"/>
  <c r="G419" i="4"/>
  <c r="G418" i="4"/>
  <c r="G417" i="4"/>
  <c r="G416" i="4"/>
  <c r="G415" i="4"/>
  <c r="G414" i="4"/>
  <c r="G413" i="4"/>
  <c r="G412" i="4"/>
  <c r="G411" i="4"/>
  <c r="G410" i="4"/>
  <c r="G409" i="4"/>
  <c r="G408" i="4"/>
  <c r="G407" i="4"/>
  <c r="G406" i="4"/>
  <c r="G405" i="4"/>
  <c r="G404" i="4"/>
  <c r="G403" i="4"/>
  <c r="G402" i="4"/>
  <c r="G401" i="4"/>
  <c r="G400" i="4"/>
  <c r="G399" i="4"/>
  <c r="G398" i="4"/>
  <c r="G397" i="4"/>
  <c r="G396" i="4"/>
  <c r="G395" i="4"/>
  <c r="G394" i="4"/>
  <c r="G393" i="4"/>
  <c r="G392" i="4"/>
  <c r="G391" i="4"/>
  <c r="G390" i="4"/>
  <c r="G389" i="4"/>
  <c r="G388" i="4"/>
  <c r="G387" i="4"/>
  <c r="G386" i="4"/>
  <c r="G385" i="4"/>
  <c r="G384" i="4"/>
  <c r="G383" i="4"/>
  <c r="G382" i="4"/>
  <c r="G381" i="4"/>
  <c r="G380" i="4"/>
  <c r="G379" i="4"/>
  <c r="G378" i="4"/>
  <c r="G377" i="4"/>
  <c r="G376" i="4"/>
  <c r="G375" i="4"/>
  <c r="G374" i="4"/>
  <c r="G373" i="4"/>
  <c r="G372" i="4"/>
  <c r="G371"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2" i="4"/>
  <c r="G311" i="4"/>
  <c r="G310" i="4"/>
  <c r="G309" i="4"/>
  <c r="G308" i="4"/>
  <c r="G307" i="4"/>
  <c r="G306" i="4"/>
  <c r="G305" i="4"/>
  <c r="G304" i="4"/>
  <c r="G303" i="4"/>
  <c r="G302" i="4"/>
  <c r="G301" i="4"/>
  <c r="G300" i="4"/>
  <c r="G299"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256" i="4"/>
  <c r="G255" i="4"/>
  <c r="G254" i="4"/>
  <c r="G253" i="4"/>
  <c r="G252" i="4"/>
  <c r="G251" i="4"/>
  <c r="G250" i="4"/>
  <c r="G249" i="4"/>
  <c r="G248" i="4"/>
  <c r="G247" i="4"/>
  <c r="G246" i="4"/>
  <c r="G245" i="4"/>
  <c r="G244" i="4"/>
  <c r="G243" i="4"/>
  <c r="G242" i="4"/>
  <c r="G241" i="4"/>
  <c r="G240" i="4"/>
  <c r="G239" i="4"/>
  <c r="G238" i="4"/>
  <c r="G237" i="4"/>
  <c r="G236" i="4"/>
  <c r="G235" i="4"/>
  <c r="G234"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N30" i="4"/>
  <c r="N31" i="4"/>
  <c r="N32" i="4"/>
  <c r="N33" i="4"/>
  <c r="N34" i="4"/>
  <c r="N35" i="4"/>
  <c r="N36" i="4"/>
  <c r="N37" i="4"/>
  <c r="N38" i="4"/>
  <c r="N39" i="4"/>
  <c r="AQ601" i="4" l="1"/>
  <c r="AR601" i="4"/>
  <c r="S599" i="4"/>
  <c r="S598" i="4"/>
  <c r="AG598" i="4" s="1"/>
  <c r="AP600" i="4"/>
  <c r="AO600" i="4"/>
  <c r="AN600" i="4"/>
  <c r="Z34" i="4"/>
  <c r="Z33" i="4"/>
  <c r="Y598" i="4"/>
  <c r="AA598" i="4" s="1"/>
  <c r="G19" i="20"/>
  <c r="F19" i="20"/>
  <c r="E19" i="20"/>
  <c r="C19" i="20"/>
  <c r="AK38" i="4"/>
  <c r="AJ38" i="4"/>
  <c r="AI38" i="4"/>
  <c r="AH38" i="4"/>
  <c r="AF38" i="4"/>
  <c r="AE38" i="4"/>
  <c r="AK37" i="4"/>
  <c r="AJ37" i="4"/>
  <c r="AI37" i="4"/>
  <c r="AH37" i="4"/>
  <c r="AF37" i="4"/>
  <c r="AE37" i="4"/>
  <c r="AK36" i="4"/>
  <c r="AJ36" i="4"/>
  <c r="AI36" i="4"/>
  <c r="AH36" i="4"/>
  <c r="AF36" i="4"/>
  <c r="AE36" i="4"/>
  <c r="AK35" i="4"/>
  <c r="AJ35" i="4"/>
  <c r="AI35" i="4"/>
  <c r="AH35" i="4"/>
  <c r="AF35" i="4"/>
  <c r="AE35" i="4"/>
  <c r="AK34" i="4"/>
  <c r="AJ34" i="4"/>
  <c r="AI34" i="4"/>
  <c r="AH34" i="4"/>
  <c r="AF34" i="4"/>
  <c r="AE34" i="4"/>
  <c r="AK33" i="4"/>
  <c r="AJ33" i="4"/>
  <c r="AH33" i="4"/>
  <c r="AF33" i="4"/>
  <c r="AE33" i="4"/>
  <c r="AK32" i="4"/>
  <c r="AJ32" i="4"/>
  <c r="AI32" i="4"/>
  <c r="AH32" i="4"/>
  <c r="AF32" i="4"/>
  <c r="AE32" i="4"/>
  <c r="AK30" i="4"/>
  <c r="AJ30" i="4"/>
  <c r="AI30" i="4"/>
  <c r="AH30" i="4"/>
  <c r="AF30" i="4"/>
  <c r="AE30" i="4"/>
  <c r="AK29" i="4"/>
  <c r="AJ29" i="4"/>
  <c r="AI29" i="4"/>
  <c r="AH29" i="4"/>
  <c r="AG29" i="4"/>
  <c r="AF29" i="4"/>
  <c r="AE29" i="4"/>
  <c r="AK28" i="4"/>
  <c r="AJ28" i="4"/>
  <c r="AI28" i="4"/>
  <c r="AH28" i="4"/>
  <c r="AG28" i="4"/>
  <c r="AF28" i="4"/>
  <c r="AE28" i="4"/>
  <c r="AK31" i="4"/>
  <c r="AJ31" i="4"/>
  <c r="AI31" i="4"/>
  <c r="AH31" i="4"/>
  <c r="AF31" i="4"/>
  <c r="AE31" i="4"/>
  <c r="O598" i="4"/>
  <c r="O599" i="4"/>
  <c r="Q18" i="4"/>
  <c r="A2" i="18"/>
  <c r="AB28" i="4"/>
  <c r="J29" i="4"/>
  <c r="S29" i="4" s="1"/>
  <c r="J30" i="4"/>
  <c r="S30" i="4" s="1"/>
  <c r="Y30" i="4" s="1"/>
  <c r="J31" i="4"/>
  <c r="S31" i="4" s="1"/>
  <c r="J32" i="4"/>
  <c r="S32" i="4" s="1"/>
  <c r="J33" i="4"/>
  <c r="S33" i="4" s="1"/>
  <c r="Y33" i="4" s="1"/>
  <c r="J34" i="4"/>
  <c r="S34" i="4" s="1"/>
  <c r="AG34" i="4" s="1"/>
  <c r="J35" i="4"/>
  <c r="S35" i="4" s="1"/>
  <c r="Y35" i="4" s="1"/>
  <c r="Z35" i="4" s="1"/>
  <c r="J36" i="4"/>
  <c r="S36" i="4" s="1"/>
  <c r="Y36" i="4" s="1"/>
  <c r="Z36" i="4" s="1"/>
  <c r="J37" i="4"/>
  <c r="J38" i="4"/>
  <c r="S38" i="4" s="1"/>
  <c r="Y38" i="4" s="1"/>
  <c r="Z38" i="4" s="1"/>
  <c r="AL38" i="4" s="1"/>
  <c r="I2" i="13"/>
  <c r="H2" i="13"/>
  <c r="G2" i="13"/>
  <c r="F2" i="13"/>
  <c r="E2" i="13"/>
  <c r="D2" i="13"/>
  <c r="C2" i="13"/>
  <c r="B2" i="13"/>
  <c r="A23" i="13"/>
  <c r="I16" i="13"/>
  <c r="H16" i="13"/>
  <c r="G16" i="13"/>
  <c r="F16" i="13"/>
  <c r="E16" i="13"/>
  <c r="D16" i="13"/>
  <c r="AG599" i="4" l="1"/>
  <c r="Y599" i="4"/>
  <c r="AA599" i="4" s="1"/>
  <c r="Y32" i="4"/>
  <c r="Z32" i="4" s="1"/>
  <c r="AL32" i="4" s="1"/>
  <c r="AG32" i="4"/>
  <c r="AG35" i="4"/>
  <c r="AG33" i="4"/>
  <c r="AG30" i="4"/>
  <c r="I2" i="18"/>
  <c r="S37" i="4"/>
  <c r="Y34" i="4"/>
  <c r="AA34" i="4" s="1"/>
  <c r="AQ600" i="4"/>
  <c r="AR600" i="4"/>
  <c r="AG36" i="4"/>
  <c r="AG38" i="4"/>
  <c r="Y31" i="4"/>
  <c r="AA31" i="4" s="1"/>
  <c r="AG31" i="4"/>
  <c r="AB598" i="4"/>
  <c r="Y29" i="4"/>
  <c r="AA29" i="4" s="1"/>
  <c r="AB599" i="4"/>
  <c r="AB29" i="4"/>
  <c r="AP29" i="4" s="1"/>
  <c r="O29" i="4"/>
  <c r="X17" i="4"/>
  <c r="X16" i="4"/>
  <c r="X9" i="4"/>
  <c r="AL34" i="4"/>
  <c r="X10" i="4"/>
  <c r="AL35" i="4"/>
  <c r="AA35" i="4"/>
  <c r="X13" i="4"/>
  <c r="AL36" i="4"/>
  <c r="AA36" i="4"/>
  <c r="AA38" i="4"/>
  <c r="X12" i="4"/>
  <c r="X7" i="4"/>
  <c r="AL33" i="4"/>
  <c r="AA33" i="4"/>
  <c r="X6" i="4"/>
  <c r="X5" i="4"/>
  <c r="AL31" i="4"/>
  <c r="X11" i="4"/>
  <c r="AL30" i="4"/>
  <c r="AA30" i="4"/>
  <c r="X14" i="4"/>
  <c r="AL29" i="4"/>
  <c r="X15" i="4"/>
  <c r="AA28" i="4"/>
  <c r="Q20" i="4"/>
  <c r="Q19" i="4"/>
  <c r="Q21" i="4"/>
  <c r="R21" i="4"/>
  <c r="T21" i="4"/>
  <c r="U21" i="4"/>
  <c r="V21" i="4"/>
  <c r="V22" i="4" s="1"/>
  <c r="V23" i="4" s="1"/>
  <c r="W21" i="4"/>
  <c r="AP28" i="4"/>
  <c r="J2" i="18"/>
  <c r="J597" i="4"/>
  <c r="J596" i="4"/>
  <c r="J595" i="4"/>
  <c r="J594" i="4"/>
  <c r="J593" i="4"/>
  <c r="J592" i="4"/>
  <c r="J591" i="4"/>
  <c r="J590" i="4"/>
  <c r="S590" i="4" s="1"/>
  <c r="J589" i="4"/>
  <c r="J588" i="4"/>
  <c r="J587" i="4"/>
  <c r="J586" i="4"/>
  <c r="J585" i="4"/>
  <c r="J584" i="4"/>
  <c r="S584" i="4" s="1"/>
  <c r="J583" i="4"/>
  <c r="J582" i="4"/>
  <c r="J581" i="4"/>
  <c r="J580" i="4"/>
  <c r="J579" i="4"/>
  <c r="J578" i="4"/>
  <c r="J577" i="4"/>
  <c r="J576" i="4"/>
  <c r="J575" i="4"/>
  <c r="J574" i="4"/>
  <c r="S574" i="4" s="1"/>
  <c r="J573" i="4"/>
  <c r="J572" i="4"/>
  <c r="S572" i="4" s="1"/>
  <c r="J571" i="4"/>
  <c r="J570" i="4"/>
  <c r="J569" i="4"/>
  <c r="J568" i="4"/>
  <c r="J567" i="4"/>
  <c r="J566" i="4"/>
  <c r="J565" i="4"/>
  <c r="J564" i="4"/>
  <c r="S564" i="4" s="1"/>
  <c r="J563" i="4"/>
  <c r="J562" i="4"/>
  <c r="J561" i="4"/>
  <c r="J560" i="4"/>
  <c r="J559" i="4"/>
  <c r="J558" i="4"/>
  <c r="S558" i="4" s="1"/>
  <c r="J557" i="4"/>
  <c r="J556" i="4"/>
  <c r="J555" i="4"/>
  <c r="J554" i="4"/>
  <c r="J553" i="4"/>
  <c r="J552" i="4"/>
  <c r="J551" i="4"/>
  <c r="J550" i="4"/>
  <c r="J549" i="4"/>
  <c r="J548" i="4"/>
  <c r="J547" i="4"/>
  <c r="J546" i="4"/>
  <c r="J545" i="4"/>
  <c r="J544" i="4"/>
  <c r="J543" i="4"/>
  <c r="J542" i="4"/>
  <c r="S542" i="4" s="1"/>
  <c r="J541" i="4"/>
  <c r="J540" i="4"/>
  <c r="S540" i="4" s="1"/>
  <c r="J539" i="4"/>
  <c r="J538" i="4"/>
  <c r="J537" i="4"/>
  <c r="J536" i="4"/>
  <c r="J535" i="4"/>
  <c r="J534" i="4"/>
  <c r="S534" i="4" s="1"/>
  <c r="J533" i="4"/>
  <c r="J532" i="4"/>
  <c r="S532" i="4" s="1"/>
  <c r="J531" i="4"/>
  <c r="J530" i="4"/>
  <c r="J529" i="4"/>
  <c r="J528" i="4"/>
  <c r="J527" i="4"/>
  <c r="J526" i="4"/>
  <c r="S526" i="4" s="1"/>
  <c r="J525" i="4"/>
  <c r="J524" i="4"/>
  <c r="J523" i="4"/>
  <c r="J522" i="4"/>
  <c r="J521" i="4"/>
  <c r="J520" i="4"/>
  <c r="J519" i="4"/>
  <c r="J518" i="4"/>
  <c r="J517" i="4"/>
  <c r="J516" i="4"/>
  <c r="S516" i="4" s="1"/>
  <c r="J515" i="4"/>
  <c r="J514" i="4"/>
  <c r="J513" i="4"/>
  <c r="J512" i="4"/>
  <c r="J511" i="4"/>
  <c r="J510" i="4"/>
  <c r="J509" i="4"/>
  <c r="J508" i="4"/>
  <c r="J507" i="4"/>
  <c r="J506" i="4"/>
  <c r="J505" i="4"/>
  <c r="J504" i="4"/>
  <c r="J503" i="4"/>
  <c r="J502" i="4"/>
  <c r="J501" i="4"/>
  <c r="J500" i="4"/>
  <c r="J499" i="4"/>
  <c r="J498" i="4"/>
  <c r="J497" i="4"/>
  <c r="J496" i="4"/>
  <c r="J495" i="4"/>
  <c r="J494" i="4"/>
  <c r="J493" i="4"/>
  <c r="S493" i="4" s="1"/>
  <c r="J492" i="4"/>
  <c r="J491" i="4"/>
  <c r="S491" i="4" s="1"/>
  <c r="J490" i="4"/>
  <c r="J489" i="4"/>
  <c r="J488" i="4"/>
  <c r="J487" i="4"/>
  <c r="J486" i="4"/>
  <c r="J485" i="4"/>
  <c r="J484" i="4"/>
  <c r="J483" i="4"/>
  <c r="J482" i="4"/>
  <c r="J481" i="4"/>
  <c r="J480" i="4"/>
  <c r="J479" i="4"/>
  <c r="J478" i="4"/>
  <c r="J477" i="4"/>
  <c r="J476" i="4"/>
  <c r="J475" i="4"/>
  <c r="J474" i="4"/>
  <c r="J473" i="4"/>
  <c r="J472" i="4"/>
  <c r="J471" i="4"/>
  <c r="J470" i="4"/>
  <c r="J469" i="4"/>
  <c r="S469" i="4" s="1"/>
  <c r="J468" i="4"/>
  <c r="J467" i="4"/>
  <c r="S467" i="4" s="1"/>
  <c r="J466" i="4"/>
  <c r="J465" i="4"/>
  <c r="J464" i="4"/>
  <c r="J463" i="4"/>
  <c r="J462" i="4"/>
  <c r="J461" i="4"/>
  <c r="J460" i="4"/>
  <c r="J459" i="4"/>
  <c r="J458" i="4"/>
  <c r="J457" i="4"/>
  <c r="J456" i="4"/>
  <c r="J455" i="4"/>
  <c r="S455" i="4" s="1"/>
  <c r="J454" i="4"/>
  <c r="J453" i="4"/>
  <c r="S453" i="4" s="1"/>
  <c r="J452" i="4"/>
  <c r="J451" i="4"/>
  <c r="J450" i="4"/>
  <c r="J449" i="4"/>
  <c r="J448" i="4"/>
  <c r="J447" i="4"/>
  <c r="J446" i="4"/>
  <c r="J445" i="4"/>
  <c r="J444" i="4"/>
  <c r="J443" i="4"/>
  <c r="S443" i="4" s="1"/>
  <c r="J442" i="4"/>
  <c r="J441" i="4"/>
  <c r="J440" i="4"/>
  <c r="J439" i="4"/>
  <c r="J438" i="4"/>
  <c r="J437" i="4"/>
  <c r="J436" i="4"/>
  <c r="S436" i="4" s="1"/>
  <c r="J435" i="4"/>
  <c r="J434" i="4"/>
  <c r="J433" i="4"/>
  <c r="J432" i="4"/>
  <c r="J431" i="4"/>
  <c r="S431" i="4" s="1"/>
  <c r="J430" i="4"/>
  <c r="J429" i="4"/>
  <c r="S429" i="4" s="1"/>
  <c r="J428" i="4"/>
  <c r="J427" i="4"/>
  <c r="J426" i="4"/>
  <c r="J425" i="4"/>
  <c r="J424" i="4"/>
  <c r="J423" i="4"/>
  <c r="S423" i="4" s="1"/>
  <c r="J422" i="4"/>
  <c r="J421" i="4"/>
  <c r="J420" i="4"/>
  <c r="J419" i="4"/>
  <c r="J418" i="4"/>
  <c r="J417" i="4"/>
  <c r="J416" i="4"/>
  <c r="J415" i="4"/>
  <c r="J414" i="4"/>
  <c r="J413" i="4"/>
  <c r="S413" i="4" s="1"/>
  <c r="J412" i="4"/>
  <c r="J411" i="4"/>
  <c r="J410" i="4"/>
  <c r="J409" i="4"/>
  <c r="J408" i="4"/>
  <c r="J407" i="4"/>
  <c r="J406" i="4"/>
  <c r="J405" i="4"/>
  <c r="S405" i="4" s="1"/>
  <c r="J404" i="4"/>
  <c r="J403" i="4"/>
  <c r="J402" i="4"/>
  <c r="J401" i="4"/>
  <c r="J400" i="4"/>
  <c r="J399" i="4"/>
  <c r="J398" i="4"/>
  <c r="J397" i="4"/>
  <c r="J396" i="4"/>
  <c r="J395" i="4"/>
  <c r="J394" i="4"/>
  <c r="S394" i="4" s="1"/>
  <c r="J393" i="4"/>
  <c r="S393" i="4" s="1"/>
  <c r="J392" i="4"/>
  <c r="J391" i="4"/>
  <c r="J390" i="4"/>
  <c r="J389" i="4"/>
  <c r="S389" i="4" s="1"/>
  <c r="J388" i="4"/>
  <c r="J387" i="4"/>
  <c r="J386" i="4"/>
  <c r="J385" i="4"/>
  <c r="J384" i="4"/>
  <c r="J383" i="4"/>
  <c r="J382" i="4"/>
  <c r="J381" i="4"/>
  <c r="J380" i="4"/>
  <c r="J379" i="4"/>
  <c r="S379" i="4" s="1"/>
  <c r="J378" i="4"/>
  <c r="J377" i="4"/>
  <c r="J376" i="4"/>
  <c r="J375" i="4"/>
  <c r="J374" i="4"/>
  <c r="J373" i="4"/>
  <c r="J372" i="4"/>
  <c r="J371" i="4"/>
  <c r="J370" i="4"/>
  <c r="J369" i="4"/>
  <c r="S369" i="4" s="1"/>
  <c r="J368" i="4"/>
  <c r="J367" i="4"/>
  <c r="J366" i="4"/>
  <c r="J365" i="4"/>
  <c r="S365" i="4" s="1"/>
  <c r="J364" i="4"/>
  <c r="J363" i="4"/>
  <c r="S363" i="4" s="1"/>
  <c r="J362" i="4"/>
  <c r="J361" i="4"/>
  <c r="S361" i="4" s="1"/>
  <c r="J360" i="4"/>
  <c r="J359" i="4"/>
  <c r="J358" i="4"/>
  <c r="J357" i="4"/>
  <c r="J356" i="4"/>
  <c r="J355" i="4"/>
  <c r="J354" i="4"/>
  <c r="J353" i="4"/>
  <c r="S353" i="4" s="1"/>
  <c r="J352" i="4"/>
  <c r="J351" i="4"/>
  <c r="J350" i="4"/>
  <c r="J349" i="4"/>
  <c r="J348" i="4"/>
  <c r="J347" i="4"/>
  <c r="J346" i="4"/>
  <c r="J345" i="4"/>
  <c r="J344" i="4"/>
  <c r="J343" i="4"/>
  <c r="S343" i="4" s="1"/>
  <c r="J342" i="4"/>
  <c r="J341" i="4"/>
  <c r="J340" i="4"/>
  <c r="J339" i="4"/>
  <c r="J338" i="4"/>
  <c r="S338" i="4" s="1"/>
  <c r="J337" i="4"/>
  <c r="S337" i="4" s="1"/>
  <c r="J336" i="4"/>
  <c r="J335" i="4"/>
  <c r="J334" i="4"/>
  <c r="J333" i="4"/>
  <c r="J332" i="4"/>
  <c r="J331" i="4"/>
  <c r="S331" i="4" s="1"/>
  <c r="J330" i="4"/>
  <c r="J329" i="4"/>
  <c r="J328" i="4"/>
  <c r="J327" i="4"/>
  <c r="S327" i="4" s="1"/>
  <c r="J326" i="4"/>
  <c r="J325" i="4"/>
  <c r="J324" i="4"/>
  <c r="S324" i="4" s="1"/>
  <c r="J323" i="4"/>
  <c r="J322" i="4"/>
  <c r="J321" i="4"/>
  <c r="J320" i="4"/>
  <c r="J319" i="4"/>
  <c r="J318" i="4"/>
  <c r="S318" i="4" s="1"/>
  <c r="J317" i="4"/>
  <c r="J316" i="4"/>
  <c r="J315" i="4"/>
  <c r="J314" i="4"/>
  <c r="S314" i="4" s="1"/>
  <c r="J313" i="4"/>
  <c r="J312" i="4"/>
  <c r="J311" i="4"/>
  <c r="J310" i="4"/>
  <c r="S310" i="4" s="1"/>
  <c r="J309" i="4"/>
  <c r="J308" i="4"/>
  <c r="J307" i="4"/>
  <c r="J306" i="4"/>
  <c r="J305" i="4"/>
  <c r="J304" i="4"/>
  <c r="J303" i="4"/>
  <c r="J302" i="4"/>
  <c r="S302" i="4" s="1"/>
  <c r="J301" i="4"/>
  <c r="J300" i="4"/>
  <c r="J299" i="4"/>
  <c r="J298" i="4"/>
  <c r="J297" i="4"/>
  <c r="J296" i="4"/>
  <c r="J295" i="4"/>
  <c r="J294" i="4"/>
  <c r="S294" i="4" s="1"/>
  <c r="J293" i="4"/>
  <c r="J292" i="4"/>
  <c r="S292" i="4" s="1"/>
  <c r="J291" i="4"/>
  <c r="J290" i="4"/>
  <c r="J289" i="4"/>
  <c r="J288" i="4"/>
  <c r="J287" i="4"/>
  <c r="J286" i="4"/>
  <c r="S286" i="4" s="1"/>
  <c r="J285" i="4"/>
  <c r="J284" i="4"/>
  <c r="J283" i="4"/>
  <c r="J282" i="4"/>
  <c r="S282" i="4" s="1"/>
  <c r="J281" i="4"/>
  <c r="J280" i="4"/>
  <c r="J279" i="4"/>
  <c r="J278" i="4"/>
  <c r="S278" i="4" s="1"/>
  <c r="J277" i="4"/>
  <c r="J276" i="4"/>
  <c r="J275" i="4"/>
  <c r="J274" i="4"/>
  <c r="S274" i="4" s="1"/>
  <c r="J273" i="4"/>
  <c r="J272" i="4"/>
  <c r="J271" i="4"/>
  <c r="J270" i="4"/>
  <c r="S270" i="4" s="1"/>
  <c r="J269" i="4"/>
  <c r="J268" i="4"/>
  <c r="J267" i="4"/>
  <c r="J266" i="4"/>
  <c r="J265" i="4"/>
  <c r="J264" i="4"/>
  <c r="J263" i="4"/>
  <c r="J262" i="4"/>
  <c r="S262" i="4" s="1"/>
  <c r="J261" i="4"/>
  <c r="J260" i="4"/>
  <c r="J259" i="4"/>
  <c r="J258" i="4"/>
  <c r="J257" i="4"/>
  <c r="J256" i="4"/>
  <c r="J255" i="4"/>
  <c r="J254" i="4"/>
  <c r="S254" i="4" s="1"/>
  <c r="J253" i="4"/>
  <c r="J252" i="4"/>
  <c r="J251" i="4"/>
  <c r="J250" i="4"/>
  <c r="J249" i="4"/>
  <c r="J248" i="4"/>
  <c r="J247" i="4"/>
  <c r="J246" i="4"/>
  <c r="S246" i="4" s="1"/>
  <c r="J245" i="4"/>
  <c r="J244" i="4"/>
  <c r="J243" i="4"/>
  <c r="J242" i="4"/>
  <c r="S242" i="4" s="1"/>
  <c r="J241" i="4"/>
  <c r="J240" i="4"/>
  <c r="J239" i="4"/>
  <c r="J238" i="4"/>
  <c r="S238" i="4" s="1"/>
  <c r="J237" i="4"/>
  <c r="J236" i="4"/>
  <c r="J235" i="4"/>
  <c r="J234" i="4"/>
  <c r="J233" i="4"/>
  <c r="J232" i="4"/>
  <c r="J231" i="4"/>
  <c r="J230" i="4"/>
  <c r="S230" i="4" s="1"/>
  <c r="J229" i="4"/>
  <c r="J228" i="4"/>
  <c r="J227" i="4"/>
  <c r="J226" i="4"/>
  <c r="J225" i="4"/>
  <c r="J224" i="4"/>
  <c r="J223" i="4"/>
  <c r="J222" i="4"/>
  <c r="J221" i="4"/>
  <c r="J220" i="4"/>
  <c r="J219" i="4"/>
  <c r="S219" i="4" s="1"/>
  <c r="J218" i="4"/>
  <c r="J217" i="4"/>
  <c r="J216" i="4"/>
  <c r="J215" i="4"/>
  <c r="S215" i="4" s="1"/>
  <c r="J214" i="4"/>
  <c r="S214" i="4" s="1"/>
  <c r="J213" i="4"/>
  <c r="J212" i="4"/>
  <c r="J211" i="4"/>
  <c r="J210" i="4"/>
  <c r="S210" i="4" s="1"/>
  <c r="J209" i="4"/>
  <c r="J208" i="4"/>
  <c r="J207" i="4"/>
  <c r="S207" i="4" s="1"/>
  <c r="J206" i="4"/>
  <c r="S206" i="4" s="1"/>
  <c r="J205" i="4"/>
  <c r="J204" i="4"/>
  <c r="S204" i="4" s="1"/>
  <c r="J203" i="4"/>
  <c r="J202" i="4"/>
  <c r="J201" i="4"/>
  <c r="J200" i="4"/>
  <c r="J199" i="4"/>
  <c r="J198" i="4"/>
  <c r="S198" i="4" s="1"/>
  <c r="J197" i="4"/>
  <c r="J196" i="4"/>
  <c r="J195" i="4"/>
  <c r="J194" i="4"/>
  <c r="S194" i="4" s="1"/>
  <c r="J193" i="4"/>
  <c r="J192" i="4"/>
  <c r="J191" i="4"/>
  <c r="J190" i="4"/>
  <c r="S190" i="4" s="1"/>
  <c r="J189" i="4"/>
  <c r="J188" i="4"/>
  <c r="J187" i="4"/>
  <c r="J186" i="4"/>
  <c r="J185" i="4"/>
  <c r="J184" i="4"/>
  <c r="J183" i="4"/>
  <c r="J182" i="4"/>
  <c r="S182" i="4" s="1"/>
  <c r="J181" i="4"/>
  <c r="J180" i="4"/>
  <c r="J179" i="4"/>
  <c r="J178" i="4"/>
  <c r="J177" i="4"/>
  <c r="J176" i="4"/>
  <c r="J175" i="4"/>
  <c r="J174" i="4"/>
  <c r="S174" i="4" s="1"/>
  <c r="J173" i="4"/>
  <c r="J172" i="4"/>
  <c r="J171" i="4"/>
  <c r="S171" i="4" s="1"/>
  <c r="J170" i="4"/>
  <c r="J169" i="4"/>
  <c r="J168" i="4"/>
  <c r="J167" i="4"/>
  <c r="J166" i="4"/>
  <c r="S166" i="4" s="1"/>
  <c r="J165" i="4"/>
  <c r="J164" i="4"/>
  <c r="J163" i="4"/>
  <c r="J162" i="4"/>
  <c r="J161" i="4"/>
  <c r="J160" i="4"/>
  <c r="J159" i="4"/>
  <c r="J158" i="4"/>
  <c r="S158" i="4" s="1"/>
  <c r="J157" i="4"/>
  <c r="J156" i="4"/>
  <c r="J155" i="4"/>
  <c r="J154" i="4"/>
  <c r="J153" i="4"/>
  <c r="J152" i="4"/>
  <c r="J151" i="4"/>
  <c r="J150" i="4"/>
  <c r="J149" i="4"/>
  <c r="J148" i="4"/>
  <c r="S148" i="4" s="1"/>
  <c r="J147" i="4"/>
  <c r="J146" i="4"/>
  <c r="S146" i="4" s="1"/>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06" i="4"/>
  <c r="J105" i="4"/>
  <c r="J104" i="4"/>
  <c r="J103" i="4"/>
  <c r="J102" i="4"/>
  <c r="J101" i="4"/>
  <c r="J100" i="4"/>
  <c r="J99" i="4"/>
  <c r="J98" i="4"/>
  <c r="J97" i="4"/>
  <c r="J96" i="4"/>
  <c r="S96" i="4" s="1"/>
  <c r="J95" i="4"/>
  <c r="J94" i="4"/>
  <c r="J93" i="4"/>
  <c r="J92" i="4"/>
  <c r="J91" i="4"/>
  <c r="J90" i="4"/>
  <c r="J89" i="4"/>
  <c r="J88" i="4"/>
  <c r="J87" i="4"/>
  <c r="J86" i="4"/>
  <c r="J85" i="4"/>
  <c r="J84" i="4"/>
  <c r="J83" i="4"/>
  <c r="J82" i="4"/>
  <c r="J81" i="4"/>
  <c r="J80" i="4"/>
  <c r="S80" i="4" s="1"/>
  <c r="J79" i="4"/>
  <c r="J78" i="4"/>
  <c r="J77" i="4"/>
  <c r="J76" i="4"/>
  <c r="J75" i="4"/>
  <c r="J74" i="4"/>
  <c r="S74" i="4" s="1"/>
  <c r="J73" i="4"/>
  <c r="J72" i="4"/>
  <c r="J71" i="4"/>
  <c r="J70" i="4"/>
  <c r="S70" i="4" s="1"/>
  <c r="J69" i="4"/>
  <c r="J68" i="4"/>
  <c r="J67" i="4"/>
  <c r="J66" i="4"/>
  <c r="S66" i="4" s="1"/>
  <c r="J65" i="4"/>
  <c r="J64" i="4"/>
  <c r="S64" i="4" s="1"/>
  <c r="J63" i="4"/>
  <c r="J62" i="4"/>
  <c r="J61" i="4"/>
  <c r="J60" i="4"/>
  <c r="J59" i="4"/>
  <c r="J58" i="4"/>
  <c r="S58" i="4" s="1"/>
  <c r="J57" i="4"/>
  <c r="J56" i="4"/>
  <c r="J55" i="4"/>
  <c r="J54" i="4"/>
  <c r="J53" i="4"/>
  <c r="J52" i="4"/>
  <c r="AA32" i="4" l="1"/>
  <c r="H2" i="18"/>
  <c r="S162" i="4"/>
  <c r="S288" i="4"/>
  <c r="S428" i="4"/>
  <c r="AP599" i="4"/>
  <c r="AO599" i="4"/>
  <c r="AN599" i="4"/>
  <c r="S65" i="4"/>
  <c r="S135" i="4"/>
  <c r="AB135" i="4" s="1"/>
  <c r="AP135" i="4" s="1"/>
  <c r="S67" i="4"/>
  <c r="AB67" i="4" s="1"/>
  <c r="AN67" i="4" s="1"/>
  <c r="S109" i="4"/>
  <c r="S151" i="4"/>
  <c r="S193" i="4"/>
  <c r="AB235" i="4"/>
  <c r="S291" i="4"/>
  <c r="S333" i="4"/>
  <c r="AG361" i="4"/>
  <c r="Y361" i="4"/>
  <c r="AA361" i="4" s="1"/>
  <c r="S375" i="4"/>
  <c r="AG389" i="4"/>
  <c r="Y389" i="4"/>
  <c r="AA389" i="4" s="1"/>
  <c r="S403" i="4"/>
  <c r="AG431" i="4"/>
  <c r="Y431" i="4"/>
  <c r="AA431" i="4" s="1"/>
  <c r="S445" i="4"/>
  <c r="S459" i="4"/>
  <c r="S473" i="4"/>
  <c r="AB473" i="4" s="1"/>
  <c r="S487" i="4"/>
  <c r="S501" i="4"/>
  <c r="S515" i="4"/>
  <c r="S529" i="4"/>
  <c r="AB529" i="4" s="1"/>
  <c r="S543" i="4"/>
  <c r="S557" i="4"/>
  <c r="AB557" i="4" s="1"/>
  <c r="S571" i="4"/>
  <c r="AB571" i="4" s="1"/>
  <c r="S585" i="4"/>
  <c r="AP598" i="4"/>
  <c r="AN598" i="4"/>
  <c r="AO598" i="4"/>
  <c r="AG64" i="4"/>
  <c r="Y64" i="4"/>
  <c r="AA64" i="4" s="1"/>
  <c r="S120" i="4"/>
  <c r="S260" i="4"/>
  <c r="S344" i="4"/>
  <c r="S470" i="4"/>
  <c r="S582" i="4"/>
  <c r="S149" i="4"/>
  <c r="AG331" i="4"/>
  <c r="Y331" i="4"/>
  <c r="AA331" i="4" s="1"/>
  <c r="AG443" i="4"/>
  <c r="Y443" i="4"/>
  <c r="AA443" i="4" s="1"/>
  <c r="S513" i="4"/>
  <c r="S583" i="4"/>
  <c r="AG262" i="4"/>
  <c r="Y262" i="4"/>
  <c r="AA262" i="4" s="1"/>
  <c r="S374" i="4"/>
  <c r="S472" i="4"/>
  <c r="S500" i="4"/>
  <c r="S514" i="4"/>
  <c r="S53" i="4"/>
  <c r="S81" i="4"/>
  <c r="AB81" i="4" s="1"/>
  <c r="AP81" i="4" s="1"/>
  <c r="S95" i="4"/>
  <c r="S123" i="4"/>
  <c r="S137" i="4"/>
  <c r="S249" i="4"/>
  <c r="S263" i="4"/>
  <c r="AB263" i="4" s="1"/>
  <c r="S277" i="4"/>
  <c r="S305" i="4"/>
  <c r="S319" i="4"/>
  <c r="S347" i="4"/>
  <c r="S417" i="4"/>
  <c r="S54" i="4"/>
  <c r="S68" i="4"/>
  <c r="S82" i="4"/>
  <c r="AG96" i="4"/>
  <c r="Y96" i="4"/>
  <c r="AA96" i="4" s="1"/>
  <c r="S110" i="4"/>
  <c r="S124" i="4"/>
  <c r="S138" i="4"/>
  <c r="S152" i="4"/>
  <c r="AG194" i="4"/>
  <c r="Y194" i="4"/>
  <c r="AA194" i="4" s="1"/>
  <c r="S208" i="4"/>
  <c r="AG222" i="4"/>
  <c r="Y222" i="4"/>
  <c r="AA222" i="4" s="1"/>
  <c r="S236" i="4"/>
  <c r="S250" i="4"/>
  <c r="S264" i="4"/>
  <c r="AG278" i="4"/>
  <c r="Y278" i="4"/>
  <c r="AA278" i="4" s="1"/>
  <c r="AG292" i="4"/>
  <c r="Y292" i="4"/>
  <c r="AA292" i="4" s="1"/>
  <c r="S306" i="4"/>
  <c r="S320" i="4"/>
  <c r="S334" i="4"/>
  <c r="S348" i="4"/>
  <c r="S362" i="4"/>
  <c r="S376" i="4"/>
  <c r="S390" i="4"/>
  <c r="S404" i="4"/>
  <c r="S418" i="4"/>
  <c r="S432" i="4"/>
  <c r="S446" i="4"/>
  <c r="S460" i="4"/>
  <c r="S474" i="4"/>
  <c r="S488" i="4"/>
  <c r="S502" i="4"/>
  <c r="AG516" i="4"/>
  <c r="Y516" i="4"/>
  <c r="AA516" i="4" s="1"/>
  <c r="S530" i="4"/>
  <c r="S544" i="4"/>
  <c r="AG558" i="4"/>
  <c r="Y558" i="4"/>
  <c r="AA558" i="4" s="1"/>
  <c r="AG572" i="4"/>
  <c r="Y572" i="4"/>
  <c r="AA572" i="4" s="1"/>
  <c r="S586" i="4"/>
  <c r="S106" i="4"/>
  <c r="S218" i="4"/>
  <c r="S372" i="4"/>
  <c r="AG540" i="4"/>
  <c r="Y540" i="4"/>
  <c r="AA540" i="4" s="1"/>
  <c r="S79" i="4"/>
  <c r="S205" i="4"/>
  <c r="S275" i="4"/>
  <c r="S373" i="4"/>
  <c r="S499" i="4"/>
  <c r="S597" i="4"/>
  <c r="S94" i="4"/>
  <c r="S234" i="4"/>
  <c r="S458" i="4"/>
  <c r="AG363" i="4"/>
  <c r="Y363" i="4"/>
  <c r="AA363" i="4" s="1"/>
  <c r="S447" i="4"/>
  <c r="S545" i="4"/>
  <c r="S559" i="4"/>
  <c r="S573" i="4"/>
  <c r="S107" i="4"/>
  <c r="S261" i="4"/>
  <c r="S401" i="4"/>
  <c r="AG80" i="4"/>
  <c r="Y80" i="4"/>
  <c r="AA80" i="4" s="1"/>
  <c r="S136" i="4"/>
  <c r="S290" i="4"/>
  <c r="S388" i="4"/>
  <c r="S125" i="4"/>
  <c r="S251" i="4"/>
  <c r="AB251" i="4" s="1"/>
  <c r="S307" i="4"/>
  <c r="S335" i="4"/>
  <c r="S377" i="4"/>
  <c r="AG405" i="4"/>
  <c r="Y405" i="4"/>
  <c r="AA405" i="4" s="1"/>
  <c r="S461" i="4"/>
  <c r="S587" i="4"/>
  <c r="AG70" i="4"/>
  <c r="Y70" i="4"/>
  <c r="AA70" i="4" s="1"/>
  <c r="S126" i="4"/>
  <c r="AG210" i="4"/>
  <c r="Y210" i="4"/>
  <c r="AA210" i="4" s="1"/>
  <c r="AG238" i="4"/>
  <c r="Y238" i="4"/>
  <c r="AA238" i="4" s="1"/>
  <c r="S252" i="4"/>
  <c r="S266" i="4"/>
  <c r="S280" i="4"/>
  <c r="AG294" i="4"/>
  <c r="Y294" i="4"/>
  <c r="AA294" i="4" s="1"/>
  <c r="S308" i="4"/>
  <c r="S322" i="4"/>
  <c r="S336" i="4"/>
  <c r="S350" i="4"/>
  <c r="S364" i="4"/>
  <c r="S378" i="4"/>
  <c r="S406" i="4"/>
  <c r="AB406" i="4" s="1"/>
  <c r="S420" i="4"/>
  <c r="S434" i="4"/>
  <c r="S448" i="4"/>
  <c r="S462" i="4"/>
  <c r="S476" i="4"/>
  <c r="S490" i="4"/>
  <c r="S504" i="4"/>
  <c r="S518" i="4"/>
  <c r="AG532" i="4"/>
  <c r="Y532" i="4"/>
  <c r="AA532" i="4" s="1"/>
  <c r="S546" i="4"/>
  <c r="S560" i="4"/>
  <c r="AG574" i="4"/>
  <c r="Y574" i="4"/>
  <c r="AA574" i="4" s="1"/>
  <c r="S588" i="4"/>
  <c r="AG148" i="4"/>
  <c r="Y148" i="4"/>
  <c r="AA148" i="4" s="1"/>
  <c r="AG302" i="4"/>
  <c r="Y302" i="4"/>
  <c r="AA302" i="4" s="1"/>
  <c r="S456" i="4"/>
  <c r="S596" i="4"/>
  <c r="S93" i="4"/>
  <c r="S317" i="4"/>
  <c r="S415" i="4"/>
  <c r="AB415" i="4" s="1"/>
  <c r="S541" i="4"/>
  <c r="AG66" i="4"/>
  <c r="Y66" i="4"/>
  <c r="AA66" i="4" s="1"/>
  <c r="S346" i="4"/>
  <c r="S55" i="4"/>
  <c r="S139" i="4"/>
  <c r="S209" i="4"/>
  <c r="S279" i="4"/>
  <c r="S321" i="4"/>
  <c r="S349" i="4"/>
  <c r="S391" i="4"/>
  <c r="S433" i="4"/>
  <c r="S531" i="4"/>
  <c r="S56" i="4"/>
  <c r="S84" i="4"/>
  <c r="S98" i="4"/>
  <c r="S112" i="4"/>
  <c r="S140" i="4"/>
  <c r="S154" i="4"/>
  <c r="S196" i="4"/>
  <c r="S392" i="4"/>
  <c r="AB392" i="4" s="1"/>
  <c r="S57" i="4"/>
  <c r="S71" i="4"/>
  <c r="S85" i="4"/>
  <c r="S99" i="4"/>
  <c r="S113" i="4"/>
  <c r="S127" i="4"/>
  <c r="S141" i="4"/>
  <c r="S155" i="4"/>
  <c r="S197" i="4"/>
  <c r="S211" i="4"/>
  <c r="S13" i="4"/>
  <c r="D16" i="20" s="1"/>
  <c r="S239" i="4"/>
  <c r="S253" i="4"/>
  <c r="S267" i="4"/>
  <c r="S281" i="4"/>
  <c r="S295" i="4"/>
  <c r="S309" i="4"/>
  <c r="S323" i="4"/>
  <c r="AG337" i="4"/>
  <c r="Y337" i="4"/>
  <c r="AA337" i="4" s="1"/>
  <c r="S351" i="4"/>
  <c r="AG365" i="4"/>
  <c r="Y365" i="4"/>
  <c r="AA365" i="4" s="1"/>
  <c r="AG379" i="4"/>
  <c r="Y379" i="4"/>
  <c r="AA379" i="4" s="1"/>
  <c r="AG393" i="4"/>
  <c r="Y393" i="4"/>
  <c r="AA393" i="4" s="1"/>
  <c r="S407" i="4"/>
  <c r="S421" i="4"/>
  <c r="S435" i="4"/>
  <c r="S449" i="4"/>
  <c r="S463" i="4"/>
  <c r="AB463" i="4" s="1"/>
  <c r="AP463" i="4" s="1"/>
  <c r="S477" i="4"/>
  <c r="AG491" i="4"/>
  <c r="Y491" i="4"/>
  <c r="AA491" i="4" s="1"/>
  <c r="S505" i="4"/>
  <c r="S519" i="4"/>
  <c r="S533" i="4"/>
  <c r="S547" i="4"/>
  <c r="S561" i="4"/>
  <c r="S575" i="4"/>
  <c r="S589" i="4"/>
  <c r="S316" i="4"/>
  <c r="S414" i="4"/>
  <c r="S512" i="4"/>
  <c r="S303" i="4"/>
  <c r="AG429" i="4"/>
  <c r="Y429" i="4"/>
  <c r="AA429" i="4" s="1"/>
  <c r="S485" i="4"/>
  <c r="S527" i="4"/>
  <c r="S555" i="4"/>
  <c r="AG220" i="4"/>
  <c r="Y220" i="4"/>
  <c r="AA220" i="4" s="1"/>
  <c r="S360" i="4"/>
  <c r="AG542" i="4"/>
  <c r="Y542" i="4"/>
  <c r="AA542" i="4" s="1"/>
  <c r="S111" i="4"/>
  <c r="S237" i="4"/>
  <c r="S475" i="4"/>
  <c r="S100" i="4"/>
  <c r="S240" i="4"/>
  <c r="S296" i="4"/>
  <c r="AG394" i="4"/>
  <c r="Y394" i="4"/>
  <c r="AA394" i="4" s="1"/>
  <c r="S422" i="4"/>
  <c r="AB422" i="4" s="1"/>
  <c r="AP422" i="4" s="1"/>
  <c r="S464" i="4"/>
  <c r="S506" i="4"/>
  <c r="AG534" i="4"/>
  <c r="Y534" i="4"/>
  <c r="AA534" i="4" s="1"/>
  <c r="S548" i="4"/>
  <c r="S562" i="4"/>
  <c r="S83" i="4"/>
  <c r="S153" i="4"/>
  <c r="S293" i="4"/>
  <c r="S419" i="4"/>
  <c r="AG58" i="4"/>
  <c r="Y58" i="4"/>
  <c r="AA58" i="4" s="1"/>
  <c r="S128" i="4"/>
  <c r="AG198" i="4"/>
  <c r="Y198" i="4"/>
  <c r="AA198" i="4" s="1"/>
  <c r="S268" i="4"/>
  <c r="AG324" i="4"/>
  <c r="Y324" i="4"/>
  <c r="AA324" i="4" s="1"/>
  <c r="S366" i="4"/>
  <c r="S380" i="4"/>
  <c r="S408" i="4"/>
  <c r="S450" i="4"/>
  <c r="S478" i="4"/>
  <c r="S576" i="4"/>
  <c r="S59" i="4"/>
  <c r="AB59" i="4" s="1"/>
  <c r="S87" i="4"/>
  <c r="S101" i="4"/>
  <c r="S129" i="4"/>
  <c r="S143" i="4"/>
  <c r="S157" i="4"/>
  <c r="S269" i="4"/>
  <c r="AG353" i="4"/>
  <c r="Y353" i="4"/>
  <c r="AA353" i="4" s="1"/>
  <c r="S367" i="4"/>
  <c r="S395" i="4"/>
  <c r="S409" i="4"/>
  <c r="S451" i="4"/>
  <c r="S507" i="4"/>
  <c r="S78" i="4"/>
  <c r="AB78" i="4" s="1"/>
  <c r="AG274" i="4"/>
  <c r="Y274" i="4"/>
  <c r="AA274" i="4" s="1"/>
  <c r="S386" i="4"/>
  <c r="AG526" i="4"/>
  <c r="Y526" i="4"/>
  <c r="AA526" i="4" s="1"/>
  <c r="S554" i="4"/>
  <c r="S289" i="4"/>
  <c r="S108" i="4"/>
  <c r="S248" i="4"/>
  <c r="S402" i="4"/>
  <c r="AG584" i="4"/>
  <c r="Y584" i="4"/>
  <c r="AA584" i="4" s="1"/>
  <c r="S503" i="4"/>
  <c r="S72" i="4"/>
  <c r="S114" i="4"/>
  <c r="S212" i="4"/>
  <c r="AG282" i="4"/>
  <c r="Y282" i="4"/>
  <c r="AA282" i="4" s="1"/>
  <c r="S352" i="4"/>
  <c r="AG436" i="4"/>
  <c r="Y436" i="4"/>
  <c r="AA436" i="4" s="1"/>
  <c r="AG590" i="4"/>
  <c r="Y590" i="4"/>
  <c r="AA590" i="4" s="1"/>
  <c r="S73" i="4"/>
  <c r="S115" i="4"/>
  <c r="S199" i="4"/>
  <c r="S213" i="4"/>
  <c r="AB213" i="4" s="1"/>
  <c r="S241" i="4"/>
  <c r="S255" i="4"/>
  <c r="S283" i="4"/>
  <c r="S297" i="4"/>
  <c r="S311" i="4"/>
  <c r="S325" i="4"/>
  <c r="S339" i="4"/>
  <c r="S381" i="4"/>
  <c r="AG423" i="4"/>
  <c r="Y423" i="4"/>
  <c r="AA423" i="4" s="1"/>
  <c r="S437" i="4"/>
  <c r="S465" i="4"/>
  <c r="S479" i="4"/>
  <c r="AG493" i="4"/>
  <c r="Y493" i="4"/>
  <c r="AA493" i="4" s="1"/>
  <c r="S521" i="4"/>
  <c r="S535" i="4"/>
  <c r="S549" i="4"/>
  <c r="S563" i="4"/>
  <c r="S577" i="4"/>
  <c r="S591" i="4"/>
  <c r="S60" i="4"/>
  <c r="AG74" i="4"/>
  <c r="Y74" i="4"/>
  <c r="AA74" i="4" s="1"/>
  <c r="S88" i="4"/>
  <c r="S102" i="4"/>
  <c r="S116" i="4"/>
  <c r="S130" i="4"/>
  <c r="S144" i="4"/>
  <c r="AG158" i="4"/>
  <c r="Y158" i="4"/>
  <c r="AA158" i="4" s="1"/>
  <c r="S200" i="4"/>
  <c r="AG214" i="4"/>
  <c r="Y214" i="4"/>
  <c r="AA214" i="4" s="1"/>
  <c r="AG242" i="4"/>
  <c r="Y242" i="4"/>
  <c r="AA242" i="4" s="1"/>
  <c r="S256" i="4"/>
  <c r="AG270" i="4"/>
  <c r="Y270" i="4"/>
  <c r="AA270" i="4" s="1"/>
  <c r="S284" i="4"/>
  <c r="S298" i="4"/>
  <c r="S312" i="4"/>
  <c r="S326" i="4"/>
  <c r="S340" i="4"/>
  <c r="S354" i="4"/>
  <c r="S368" i="4"/>
  <c r="S382" i="4"/>
  <c r="S396" i="4"/>
  <c r="S410" i="4"/>
  <c r="S424" i="4"/>
  <c r="S438" i="4"/>
  <c r="S452" i="4"/>
  <c r="S466" i="4"/>
  <c r="S480" i="4"/>
  <c r="S494" i="4"/>
  <c r="AB494" i="4" s="1"/>
  <c r="S508" i="4"/>
  <c r="S522" i="4"/>
  <c r="S536" i="4"/>
  <c r="S550" i="4"/>
  <c r="AG564" i="4"/>
  <c r="Y564" i="4"/>
  <c r="AA564" i="4" s="1"/>
  <c r="S578" i="4"/>
  <c r="S592" i="4"/>
  <c r="AB592" i="4" s="1"/>
  <c r="AG204" i="4"/>
  <c r="Y204" i="4"/>
  <c r="AA204" i="4" s="1"/>
  <c r="S358" i="4"/>
  <c r="S498" i="4"/>
  <c r="S247" i="4"/>
  <c r="S345" i="4"/>
  <c r="S387" i="4"/>
  <c r="S471" i="4"/>
  <c r="AB471" i="4" s="1"/>
  <c r="S569" i="4"/>
  <c r="S52" i="4"/>
  <c r="AG206" i="4"/>
  <c r="Y206" i="4"/>
  <c r="AA206" i="4" s="1"/>
  <c r="S276" i="4"/>
  <c r="S332" i="4"/>
  <c r="S444" i="4"/>
  <c r="S528" i="4"/>
  <c r="S69" i="4"/>
  <c r="S517" i="4"/>
  <c r="S86" i="4"/>
  <c r="S156" i="4"/>
  <c r="AG310" i="4"/>
  <c r="Y310" i="4"/>
  <c r="AA310" i="4" s="1"/>
  <c r="S492" i="4"/>
  <c r="S61" i="4"/>
  <c r="S117" i="4"/>
  <c r="S271" i="4"/>
  <c r="S313" i="4"/>
  <c r="AG369" i="4"/>
  <c r="Y369" i="4"/>
  <c r="AA369" i="4" s="1"/>
  <c r="S397" i="4"/>
  <c r="S411" i="4"/>
  <c r="S425" i="4"/>
  <c r="AG453" i="4"/>
  <c r="Y453" i="4"/>
  <c r="AA453" i="4" s="1"/>
  <c r="AG467" i="4"/>
  <c r="Y467" i="4"/>
  <c r="AA467" i="4" s="1"/>
  <c r="S481" i="4"/>
  <c r="S495" i="4"/>
  <c r="AB495" i="4" s="1"/>
  <c r="AN495" i="4" s="1"/>
  <c r="S509" i="4"/>
  <c r="S523" i="4"/>
  <c r="S537" i="4"/>
  <c r="S551" i="4"/>
  <c r="S565" i="4"/>
  <c r="S579" i="4"/>
  <c r="S593" i="4"/>
  <c r="AB593" i="4" s="1"/>
  <c r="AP593" i="4" s="1"/>
  <c r="S134" i="4"/>
  <c r="AG246" i="4"/>
  <c r="Y246" i="4"/>
  <c r="AA246" i="4" s="1"/>
  <c r="S330" i="4"/>
  <c r="S400" i="4"/>
  <c r="S484" i="4"/>
  <c r="S568" i="4"/>
  <c r="S121" i="4"/>
  <c r="AB121" i="4" s="1"/>
  <c r="S233" i="4"/>
  <c r="S359" i="4"/>
  <c r="S457" i="4"/>
  <c r="S150" i="4"/>
  <c r="AG318" i="4"/>
  <c r="Y318" i="4"/>
  <c r="AA318" i="4" s="1"/>
  <c r="S416" i="4"/>
  <c r="S486" i="4"/>
  <c r="AB486" i="4" s="1"/>
  <c r="S556" i="4"/>
  <c r="S195" i="4"/>
  <c r="S489" i="4"/>
  <c r="S142" i="4"/>
  <c r="AG254" i="4"/>
  <c r="Y254" i="4"/>
  <c r="AA254" i="4" s="1"/>
  <c r="AG338" i="4"/>
  <c r="Y338" i="4"/>
  <c r="AA338" i="4" s="1"/>
  <c r="S520" i="4"/>
  <c r="AB520" i="4" s="1"/>
  <c r="S75" i="4"/>
  <c r="S89" i="4"/>
  <c r="S103" i="4"/>
  <c r="S131" i="4"/>
  <c r="S145" i="4"/>
  <c r="S159" i="4"/>
  <c r="S201" i="4"/>
  <c r="S229" i="4"/>
  <c r="S243" i="4"/>
  <c r="S257" i="4"/>
  <c r="S285" i="4"/>
  <c r="S299" i="4"/>
  <c r="AG327" i="4"/>
  <c r="Y327" i="4"/>
  <c r="AA327" i="4" s="1"/>
  <c r="S341" i="4"/>
  <c r="AB341" i="4" s="1"/>
  <c r="S355" i="4"/>
  <c r="S383" i="4"/>
  <c r="S439" i="4"/>
  <c r="S62" i="4"/>
  <c r="S76" i="4"/>
  <c r="S90" i="4"/>
  <c r="S104" i="4"/>
  <c r="S118" i="4"/>
  <c r="S132" i="4"/>
  <c r="AG146" i="4"/>
  <c r="Y146" i="4"/>
  <c r="AA146" i="4" s="1"/>
  <c r="S160" i="4"/>
  <c r="S202" i="4"/>
  <c r="S216" i="4"/>
  <c r="AG230" i="4"/>
  <c r="Y230" i="4"/>
  <c r="AA230" i="4" s="1"/>
  <c r="S244" i="4"/>
  <c r="S258" i="4"/>
  <c r="S272" i="4"/>
  <c r="AG286" i="4"/>
  <c r="Y286" i="4"/>
  <c r="AA286" i="4" s="1"/>
  <c r="S300" i="4"/>
  <c r="AG314" i="4"/>
  <c r="Y314" i="4"/>
  <c r="AA314" i="4" s="1"/>
  <c r="S328" i="4"/>
  <c r="AB328" i="4" s="1"/>
  <c r="AP328" i="4" s="1"/>
  <c r="S342" i="4"/>
  <c r="S356" i="4"/>
  <c r="S370" i="4"/>
  <c r="S384" i="4"/>
  <c r="S398" i="4"/>
  <c r="S412" i="4"/>
  <c r="S426" i="4"/>
  <c r="S440" i="4"/>
  <c r="S454" i="4"/>
  <c r="S468" i="4"/>
  <c r="S482" i="4"/>
  <c r="S496" i="4"/>
  <c r="S510" i="4"/>
  <c r="S524" i="4"/>
  <c r="AB524" i="4" s="1"/>
  <c r="S538" i="4"/>
  <c r="S552" i="4"/>
  <c r="S566" i="4"/>
  <c r="S580" i="4"/>
  <c r="S594" i="4"/>
  <c r="Y37" i="4"/>
  <c r="AG37" i="4"/>
  <c r="S92" i="4"/>
  <c r="AB92" i="4" s="1"/>
  <c r="S17" i="4"/>
  <c r="S442" i="4"/>
  <c r="S122" i="4"/>
  <c r="S192" i="4"/>
  <c r="S304" i="4"/>
  <c r="S430" i="4"/>
  <c r="S570" i="4"/>
  <c r="S97" i="4"/>
  <c r="S265" i="4"/>
  <c r="S63" i="4"/>
  <c r="S77" i="4"/>
  <c r="S91" i="4"/>
  <c r="S105" i="4"/>
  <c r="S119" i="4"/>
  <c r="S133" i="4"/>
  <c r="S147" i="4"/>
  <c r="S161" i="4"/>
  <c r="S203" i="4"/>
  <c r="S217" i="4"/>
  <c r="S231" i="4"/>
  <c r="S245" i="4"/>
  <c r="AB245" i="4" s="1"/>
  <c r="S259" i="4"/>
  <c r="S273" i="4"/>
  <c r="S287" i="4"/>
  <c r="S301" i="4"/>
  <c r="S315" i="4"/>
  <c r="S329" i="4"/>
  <c r="AG343" i="4"/>
  <c r="Y343" i="4"/>
  <c r="AA343" i="4" s="1"/>
  <c r="S357" i="4"/>
  <c r="S371" i="4"/>
  <c r="S385" i="4"/>
  <c r="S399" i="4"/>
  <c r="AG413" i="4"/>
  <c r="Y413" i="4"/>
  <c r="AA413" i="4" s="1"/>
  <c r="S427" i="4"/>
  <c r="S441" i="4"/>
  <c r="AG455" i="4"/>
  <c r="Y455" i="4"/>
  <c r="AA455" i="4" s="1"/>
  <c r="AG469" i="4"/>
  <c r="Y469" i="4"/>
  <c r="AA469" i="4" s="1"/>
  <c r="S483" i="4"/>
  <c r="S497" i="4"/>
  <c r="S511" i="4"/>
  <c r="S525" i="4"/>
  <c r="S539" i="4"/>
  <c r="S553" i="4"/>
  <c r="S567" i="4"/>
  <c r="S581" i="4"/>
  <c r="S595" i="4"/>
  <c r="S179" i="4"/>
  <c r="AG166" i="4"/>
  <c r="Y166" i="4"/>
  <c r="AA166" i="4" s="1"/>
  <c r="S180" i="4"/>
  <c r="S167" i="4"/>
  <c r="S181" i="4"/>
  <c r="S168" i="4"/>
  <c r="AB168" i="4" s="1"/>
  <c r="AG182" i="4"/>
  <c r="Y182" i="4"/>
  <c r="AA182" i="4" s="1"/>
  <c r="S169" i="4"/>
  <c r="S183" i="4"/>
  <c r="S170" i="4"/>
  <c r="S184" i="4"/>
  <c r="AG171" i="4"/>
  <c r="Y171" i="4"/>
  <c r="AA171" i="4" s="1"/>
  <c r="S185" i="4"/>
  <c r="AB185" i="4" s="1"/>
  <c r="S164" i="4"/>
  <c r="S172" i="4"/>
  <c r="S173" i="4"/>
  <c r="AG187" i="4"/>
  <c r="Y187" i="4"/>
  <c r="AA187" i="4" s="1"/>
  <c r="AG174" i="4"/>
  <c r="Y174" i="4"/>
  <c r="AA174" i="4" s="1"/>
  <c r="S178" i="4"/>
  <c r="AB178" i="4" s="1"/>
  <c r="S175" i="4"/>
  <c r="S165" i="4"/>
  <c r="S176" i="4"/>
  <c r="AG190" i="4"/>
  <c r="Y190" i="4"/>
  <c r="AA190" i="4" s="1"/>
  <c r="S163" i="4"/>
  <c r="S177" i="4"/>
  <c r="AN29" i="4"/>
  <c r="AO29" i="4"/>
  <c r="AL28" i="4"/>
  <c r="B19" i="20"/>
  <c r="G4" i="20"/>
  <c r="V24" i="4"/>
  <c r="AR29" i="4"/>
  <c r="AQ29" i="4"/>
  <c r="G17" i="13"/>
  <c r="I17" i="13"/>
  <c r="I15" i="13"/>
  <c r="O96" i="4"/>
  <c r="O58" i="4"/>
  <c r="O282" i="4"/>
  <c r="O148" i="4"/>
  <c r="T22" i="4"/>
  <c r="T23" i="4" s="1"/>
  <c r="W22" i="4"/>
  <c r="H17" i="13"/>
  <c r="F17" i="13"/>
  <c r="E17" i="13"/>
  <c r="D17" i="13"/>
  <c r="O52" i="4"/>
  <c r="O55" i="4"/>
  <c r="O56" i="4"/>
  <c r="O62" i="4"/>
  <c r="O64" i="4"/>
  <c r="AB64" i="4"/>
  <c r="AP64" i="4" s="1"/>
  <c r="O66" i="4"/>
  <c r="AB66" i="4"/>
  <c r="AP66" i="4" s="1"/>
  <c r="O71" i="4"/>
  <c r="O72" i="4"/>
  <c r="O73" i="4"/>
  <c r="O78" i="4"/>
  <c r="O79" i="4"/>
  <c r="O83" i="4"/>
  <c r="O84" i="4"/>
  <c r="O88" i="4"/>
  <c r="O90" i="4"/>
  <c r="O97" i="4"/>
  <c r="O99" i="4"/>
  <c r="O104" i="4"/>
  <c r="O106" i="4"/>
  <c r="O112" i="4"/>
  <c r="O114" i="4"/>
  <c r="O116" i="4"/>
  <c r="O117" i="4"/>
  <c r="O120" i="4"/>
  <c r="O121" i="4"/>
  <c r="O122" i="4"/>
  <c r="O127" i="4"/>
  <c r="O130" i="4"/>
  <c r="O131" i="4"/>
  <c r="O132" i="4"/>
  <c r="O135" i="4"/>
  <c r="O138" i="4"/>
  <c r="O139" i="4"/>
  <c r="O140" i="4"/>
  <c r="O146" i="4"/>
  <c r="AB146" i="4"/>
  <c r="AP146" i="4" s="1"/>
  <c r="O153" i="4"/>
  <c r="O155" i="4"/>
  <c r="O156" i="4"/>
  <c r="O159" i="4"/>
  <c r="O162" i="4"/>
  <c r="O163" i="4"/>
  <c r="O165" i="4"/>
  <c r="O169" i="4"/>
  <c r="O170" i="4"/>
  <c r="O172" i="4"/>
  <c r="O173" i="4"/>
  <c r="O175" i="4"/>
  <c r="O176" i="4"/>
  <c r="O178" i="4"/>
  <c r="O179" i="4"/>
  <c r="O184" i="4"/>
  <c r="O186" i="4"/>
  <c r="O188" i="4"/>
  <c r="O192" i="4"/>
  <c r="O194" i="4"/>
  <c r="AB194" i="4"/>
  <c r="AP194" i="4" s="1"/>
  <c r="O196" i="4"/>
  <c r="O199" i="4"/>
  <c r="O201" i="4"/>
  <c r="O202" i="4"/>
  <c r="O203" i="4"/>
  <c r="O204" i="4"/>
  <c r="AB204" i="4"/>
  <c r="AP204" i="4" s="1"/>
  <c r="O208" i="4"/>
  <c r="O209" i="4"/>
  <c r="O211" i="4"/>
  <c r="O212" i="4"/>
  <c r="O215" i="4"/>
  <c r="O217" i="4"/>
  <c r="O219" i="4"/>
  <c r="O223" i="4"/>
  <c r="O226" i="4"/>
  <c r="O227" i="4"/>
  <c r="O228" i="4"/>
  <c r="O229" i="4"/>
  <c r="O233" i="4"/>
  <c r="O234" i="4"/>
  <c r="O235" i="4"/>
  <c r="O236" i="4"/>
  <c r="O239" i="4"/>
  <c r="O240" i="4"/>
  <c r="O242" i="4"/>
  <c r="AB242" i="4"/>
  <c r="AP242" i="4" s="1"/>
  <c r="O243" i="4"/>
  <c r="O248" i="4"/>
  <c r="O250" i="4"/>
  <c r="O251" i="4"/>
  <c r="O252" i="4"/>
  <c r="O256" i="4"/>
  <c r="O257" i="4"/>
  <c r="O258" i="4"/>
  <c r="O259" i="4"/>
  <c r="O260" i="4"/>
  <c r="O266" i="4"/>
  <c r="O268" i="4"/>
  <c r="O271" i="4"/>
  <c r="O272" i="4"/>
  <c r="O273" i="4"/>
  <c r="O275" i="4"/>
  <c r="O276" i="4"/>
  <c r="O277" i="4"/>
  <c r="O281" i="4"/>
  <c r="O283" i="4"/>
  <c r="O289" i="4"/>
  <c r="O291" i="4"/>
  <c r="O296" i="4"/>
  <c r="O300" i="4"/>
  <c r="O303" i="4"/>
  <c r="O305" i="4"/>
  <c r="O307" i="4"/>
  <c r="O308" i="4"/>
  <c r="O309" i="4"/>
  <c r="O313" i="4"/>
  <c r="O314" i="4"/>
  <c r="AB314" i="4"/>
  <c r="AP314" i="4" s="1"/>
  <c r="O315" i="4"/>
  <c r="O316" i="4"/>
  <c r="O321" i="4"/>
  <c r="O323" i="4"/>
  <c r="O328" i="4"/>
  <c r="O329" i="4"/>
  <c r="O332" i="4"/>
  <c r="O339" i="4"/>
  <c r="O340" i="4"/>
  <c r="O341" i="4"/>
  <c r="O346" i="4"/>
  <c r="O348" i="4"/>
  <c r="O349" i="4"/>
  <c r="O354" i="4"/>
  <c r="O360" i="4"/>
  <c r="O361" i="4"/>
  <c r="AB361" i="4"/>
  <c r="AP361" i="4" s="1"/>
  <c r="O364" i="4"/>
  <c r="O368" i="4"/>
  <c r="O370" i="4"/>
  <c r="O373" i="4"/>
  <c r="O376" i="4"/>
  <c r="O377" i="4"/>
  <c r="O378" i="4"/>
  <c r="O379" i="4"/>
  <c r="AB379" i="4"/>
  <c r="AP379" i="4" s="1"/>
  <c r="O380" i="4"/>
  <c r="O382" i="4"/>
  <c r="O383" i="4"/>
  <c r="O384" i="4"/>
  <c r="O386" i="4"/>
  <c r="O391" i="4"/>
  <c r="O394" i="4"/>
  <c r="AB394" i="4"/>
  <c r="AP394" i="4" s="1"/>
  <c r="O400" i="4"/>
  <c r="O408" i="4"/>
  <c r="O411" i="4"/>
  <c r="O412" i="4"/>
  <c r="O414" i="4"/>
  <c r="O415" i="4"/>
  <c r="O416" i="4"/>
  <c r="O418" i="4"/>
  <c r="O420" i="4"/>
  <c r="O421" i="4"/>
  <c r="O428" i="4"/>
  <c r="O434" i="4"/>
  <c r="O435" i="4"/>
  <c r="O437" i="4"/>
  <c r="O439" i="4"/>
  <c r="O440" i="4"/>
  <c r="O443" i="4"/>
  <c r="AB443" i="4"/>
  <c r="AP443" i="4" s="1"/>
  <c r="O444" i="4"/>
  <c r="O446" i="4"/>
  <c r="O448" i="4"/>
  <c r="O450" i="4"/>
  <c r="O452" i="4"/>
  <c r="O459" i="4"/>
  <c r="O466" i="4"/>
  <c r="O472" i="4"/>
  <c r="O475" i="4"/>
  <c r="O476" i="4"/>
  <c r="O480" i="4"/>
  <c r="O483" i="4"/>
  <c r="O484" i="4"/>
  <c r="O485" i="4"/>
  <c r="O488" i="4"/>
  <c r="O490" i="4"/>
  <c r="O491" i="4"/>
  <c r="AB491" i="4"/>
  <c r="AP491" i="4" s="1"/>
  <c r="O493" i="4"/>
  <c r="AB493" i="4"/>
  <c r="AP493" i="4" s="1"/>
  <c r="O496" i="4"/>
  <c r="O498" i="4"/>
  <c r="O500" i="4"/>
  <c r="O502" i="4"/>
  <c r="O508" i="4"/>
  <c r="O509" i="4"/>
  <c r="O512" i="4"/>
  <c r="O513" i="4"/>
  <c r="O514" i="4"/>
  <c r="O520" i="4"/>
  <c r="O521" i="4"/>
  <c r="O524" i="4"/>
  <c r="O525" i="4"/>
  <c r="O529" i="4"/>
  <c r="O531" i="4"/>
  <c r="O537" i="4"/>
  <c r="O539" i="4"/>
  <c r="O545" i="4"/>
  <c r="O547" i="4"/>
  <c r="O548" i="4"/>
  <c r="O549" i="4"/>
  <c r="O553" i="4"/>
  <c r="O554" i="4"/>
  <c r="O556" i="4"/>
  <c r="O557" i="4"/>
  <c r="O561" i="4"/>
  <c r="O563" i="4"/>
  <c r="O565" i="4"/>
  <c r="O566" i="4"/>
  <c r="O567" i="4"/>
  <c r="O568" i="4"/>
  <c r="O569" i="4"/>
  <c r="O571" i="4"/>
  <c r="O577" i="4"/>
  <c r="O579" i="4"/>
  <c r="O580" i="4"/>
  <c r="O581" i="4"/>
  <c r="O587" i="4"/>
  <c r="O595" i="4"/>
  <c r="O596" i="4"/>
  <c r="O597" i="4"/>
  <c r="O213" i="4"/>
  <c r="O284" i="4"/>
  <c r="AB365" i="4"/>
  <c r="AP365" i="4" s="1"/>
  <c r="O365" i="4"/>
  <c r="O67" i="4"/>
  <c r="O427" i="4"/>
  <c r="O95" i="4"/>
  <c r="O143" i="4"/>
  <c r="O207" i="4"/>
  <c r="O401" i="4"/>
  <c r="AB516" i="4"/>
  <c r="AP516" i="4" s="1"/>
  <c r="O516" i="4"/>
  <c r="AB540" i="4"/>
  <c r="AP540" i="4" s="1"/>
  <c r="O540" i="4"/>
  <c r="O81" i="4"/>
  <c r="O111" i="4"/>
  <c r="O113" i="4"/>
  <c r="O123" i="4"/>
  <c r="O191" i="4"/>
  <c r="O265" i="4"/>
  <c r="AB282" i="4"/>
  <c r="AP282" i="4" s="1"/>
  <c r="O333" i="4"/>
  <c r="AB338" i="4"/>
  <c r="AP338" i="4" s="1"/>
  <c r="O338" i="4"/>
  <c r="O404" i="4"/>
  <c r="O507" i="4"/>
  <c r="O533" i="4"/>
  <c r="O538" i="4"/>
  <c r="O550" i="4"/>
  <c r="O76" i="4"/>
  <c r="O147" i="4"/>
  <c r="O573" i="4"/>
  <c r="O593" i="4"/>
  <c r="O65" i="4"/>
  <c r="O218" i="4"/>
  <c r="O552" i="4"/>
  <c r="O335" i="4"/>
  <c r="O115" i="4"/>
  <c r="AB171" i="4"/>
  <c r="AP171" i="4" s="1"/>
  <c r="O171" i="4"/>
  <c r="AB187" i="4"/>
  <c r="AP187" i="4" s="1"/>
  <c r="O187" i="4"/>
  <c r="AB210" i="4"/>
  <c r="AP210" i="4" s="1"/>
  <c r="O210" i="4"/>
  <c r="O267" i="4"/>
  <c r="AB274" i="4"/>
  <c r="AP274" i="4" s="1"/>
  <c r="O274" i="4"/>
  <c r="O397" i="4"/>
  <c r="AB467" i="4"/>
  <c r="AP467" i="4" s="1"/>
  <c r="O467" i="4"/>
  <c r="AB542" i="4"/>
  <c r="AP542" i="4" s="1"/>
  <c r="O542" i="4"/>
  <c r="O74" i="4"/>
  <c r="AB74" i="4"/>
  <c r="AP74" i="4" s="1"/>
  <c r="O145" i="4"/>
  <c r="O154" i="4"/>
  <c r="O232" i="4"/>
  <c r="O351" i="4"/>
  <c r="O413" i="4"/>
  <c r="AB413" i="4"/>
  <c r="AP413" i="4" s="1"/>
  <c r="O54" i="4"/>
  <c r="O168" i="4"/>
  <c r="O399" i="4"/>
  <c r="AB423" i="4"/>
  <c r="AP423" i="4" s="1"/>
  <c r="O423" i="4"/>
  <c r="AB574" i="4"/>
  <c r="AP574" i="4" s="1"/>
  <c r="O574" i="4"/>
  <c r="AB584" i="4"/>
  <c r="AP584" i="4" s="1"/>
  <c r="O584" i="4"/>
  <c r="O59" i="4"/>
  <c r="O75" i="4"/>
  <c r="O87" i="4"/>
  <c r="O89" i="4"/>
  <c r="O91" i="4"/>
  <c r="O103" i="4"/>
  <c r="O105" i="4"/>
  <c r="AB148" i="4"/>
  <c r="AP148" i="4" s="1"/>
  <c r="O151" i="4"/>
  <c r="O160" i="4"/>
  <c r="O164" i="4"/>
  <c r="O185" i="4"/>
  <c r="O224" i="4"/>
  <c r="O263" i="4"/>
  <c r="AB324" i="4"/>
  <c r="AP324" i="4" s="1"/>
  <c r="O324" i="4"/>
  <c r="O393" i="4"/>
  <c r="AB393" i="4"/>
  <c r="AP393" i="4" s="1"/>
  <c r="O395" i="4"/>
  <c r="O458" i="4"/>
  <c r="O505" i="4"/>
  <c r="AB220" i="4"/>
  <c r="AP220" i="4" s="1"/>
  <c r="O220" i="4"/>
  <c r="O60" i="4"/>
  <c r="O195" i="4"/>
  <c r="O337" i="4"/>
  <c r="AB337" i="4"/>
  <c r="AP337" i="4" s="1"/>
  <c r="O362" i="4"/>
  <c r="O578" i="4"/>
  <c r="O193" i="4"/>
  <c r="AB292" i="4"/>
  <c r="AP292" i="4" s="1"/>
  <c r="O292" i="4"/>
  <c r="O356" i="4"/>
  <c r="AB564" i="4"/>
  <c r="AP564" i="4" s="1"/>
  <c r="O564" i="4"/>
  <c r="O588" i="4"/>
  <c r="O63" i="4"/>
  <c r="O102" i="4"/>
  <c r="O119" i="4"/>
  <c r="O80" i="4"/>
  <c r="O180" i="4"/>
  <c r="O369" i="4"/>
  <c r="AB369" i="4"/>
  <c r="AP369" i="4" s="1"/>
  <c r="O371" i="4"/>
  <c r="AB436" i="4"/>
  <c r="AP436" i="4" s="1"/>
  <c r="O436" i="4"/>
  <c r="O477" i="4"/>
  <c r="O61" i="4"/>
  <c r="O70" i="4"/>
  <c r="O92" i="4"/>
  <c r="O94" i="4"/>
  <c r="O107" i="4"/>
  <c r="O137" i="4"/>
  <c r="O177" i="4"/>
  <c r="O183" i="4"/>
  <c r="O216" i="4"/>
  <c r="O285" i="4"/>
  <c r="O290" i="4"/>
  <c r="O297" i="4"/>
  <c r="O299" i="4"/>
  <c r="O317" i="4"/>
  <c r="O322" i="4"/>
  <c r="O345" i="4"/>
  <c r="O359" i="4"/>
  <c r="O367" i="4"/>
  <c r="O388" i="4"/>
  <c r="O425" i="4"/>
  <c r="O451" i="4"/>
  <c r="O468" i="4"/>
  <c r="O586" i="4"/>
  <c r="O327" i="4"/>
  <c r="AB327" i="4"/>
  <c r="AP327" i="4" s="1"/>
  <c r="AB534" i="4"/>
  <c r="AP534" i="4" s="1"/>
  <c r="O534" i="4"/>
  <c r="AB572" i="4"/>
  <c r="AP572" i="4" s="1"/>
  <c r="O572" i="4"/>
  <c r="O57" i="4"/>
  <c r="O68" i="4"/>
  <c r="O86" i="4"/>
  <c r="O108" i="4"/>
  <c r="O110" i="4"/>
  <c r="O118" i="4"/>
  <c r="O129" i="4"/>
  <c r="O161" i="4"/>
  <c r="O167" i="4"/>
  <c r="O200" i="4"/>
  <c r="O225" i="4"/>
  <c r="O231" i="4"/>
  <c r="O249" i="4"/>
  <c r="O255" i="4"/>
  <c r="O279" i="4"/>
  <c r="O288" i="4"/>
  <c r="O311" i="4"/>
  <c r="O320" i="4"/>
  <c r="O350" i="4"/>
  <c r="O352" i="4"/>
  <c r="O417" i="4"/>
  <c r="O442" i="4"/>
  <c r="O464" i="4"/>
  <c r="AB469" i="4"/>
  <c r="AP469" i="4" s="1"/>
  <c r="O469" i="4"/>
  <c r="O492" i="4"/>
  <c r="O517" i="4"/>
  <c r="O522" i="4"/>
  <c r="O546" i="4"/>
  <c r="O582" i="4"/>
  <c r="O244" i="4"/>
  <c r="O419" i="4"/>
  <c r="AB532" i="4"/>
  <c r="AP532" i="4" s="1"/>
  <c r="O532" i="4"/>
  <c r="O241" i="4"/>
  <c r="O247" i="4"/>
  <c r="O280" i="4"/>
  <c r="O295" i="4"/>
  <c r="O306" i="4"/>
  <c r="O312" i="4"/>
  <c r="O344" i="4"/>
  <c r="O392" i="4"/>
  <c r="O402" i="4"/>
  <c r="O432" i="4"/>
  <c r="O438" i="4"/>
  <c r="O449" i="4"/>
  <c r="O456" i="4"/>
  <c r="O460" i="4"/>
  <c r="O482" i="4"/>
  <c r="O501" i="4"/>
  <c r="O518" i="4"/>
  <c r="O523" i="4"/>
  <c r="O536" i="4"/>
  <c r="O544" i="4"/>
  <c r="O555" i="4"/>
  <c r="O570" i="4"/>
  <c r="O576" i="4"/>
  <c r="O264" i="4"/>
  <c r="O287" i="4"/>
  <c r="O293" i="4"/>
  <c r="O298" i="4"/>
  <c r="O304" i="4"/>
  <c r="O319" i="4"/>
  <c r="O325" i="4"/>
  <c r="O336" i="4"/>
  <c r="O347" i="4"/>
  <c r="O381" i="4"/>
  <c r="O410" i="4"/>
  <c r="O424" i="4"/>
  <c r="O426" i="4"/>
  <c r="O430" i="4"/>
  <c r="O461" i="4"/>
  <c r="O474" i="4"/>
  <c r="O504" i="4"/>
  <c r="O510" i="4"/>
  <c r="O528" i="4"/>
  <c r="O585" i="4"/>
  <c r="O589" i="4"/>
  <c r="AB182" i="4"/>
  <c r="AP182" i="4" s="1"/>
  <c r="O182" i="4"/>
  <c r="AB246" i="4"/>
  <c r="AP246" i="4" s="1"/>
  <c r="O246" i="4"/>
  <c r="AB294" i="4"/>
  <c r="AP294" i="4" s="1"/>
  <c r="O294" i="4"/>
  <c r="O53" i="4"/>
  <c r="O85" i="4"/>
  <c r="O101" i="4"/>
  <c r="O125" i="4"/>
  <c r="O133" i="4"/>
  <c r="O141" i="4"/>
  <c r="O149" i="4"/>
  <c r="O157" i="4"/>
  <c r="AB174" i="4"/>
  <c r="AP174" i="4" s="1"/>
  <c r="O174" i="4"/>
  <c r="O221" i="4"/>
  <c r="AB238" i="4"/>
  <c r="AP238" i="4" s="1"/>
  <c r="O238" i="4"/>
  <c r="AB343" i="4"/>
  <c r="AP343" i="4" s="1"/>
  <c r="O343" i="4"/>
  <c r="O375" i="4"/>
  <c r="AB431" i="4"/>
  <c r="AP431" i="4" s="1"/>
  <c r="O431" i="4"/>
  <c r="AB558" i="4"/>
  <c r="AP558" i="4" s="1"/>
  <c r="O558" i="4"/>
  <c r="AB286" i="4"/>
  <c r="AP286" i="4" s="1"/>
  <c r="O286" i="4"/>
  <c r="O77" i="4"/>
  <c r="AB158" i="4"/>
  <c r="AP158" i="4" s="1"/>
  <c r="O158" i="4"/>
  <c r="O205" i="4"/>
  <c r="AB222" i="4"/>
  <c r="AP222" i="4" s="1"/>
  <c r="O222" i="4"/>
  <c r="O269" i="4"/>
  <c r="O330" i="4"/>
  <c r="AB389" i="4"/>
  <c r="AP389" i="4" s="1"/>
  <c r="O389" i="4"/>
  <c r="AB429" i="4"/>
  <c r="AP429" i="4" s="1"/>
  <c r="O429" i="4"/>
  <c r="AB58" i="4"/>
  <c r="AP58" i="4" s="1"/>
  <c r="AB70" i="4"/>
  <c r="AP70" i="4" s="1"/>
  <c r="AB80" i="4"/>
  <c r="AP80" i="4" s="1"/>
  <c r="O82" i="4"/>
  <c r="AB96" i="4"/>
  <c r="AP96" i="4" s="1"/>
  <c r="O98" i="4"/>
  <c r="O128" i="4"/>
  <c r="O136" i="4"/>
  <c r="O144" i="4"/>
  <c r="O152" i="4"/>
  <c r="O197" i="4"/>
  <c r="AB214" i="4"/>
  <c r="AP214" i="4" s="1"/>
  <c r="O214" i="4"/>
  <c r="O261" i="4"/>
  <c r="AB278" i="4"/>
  <c r="AP278" i="4" s="1"/>
  <c r="O278" i="4"/>
  <c r="O301" i="4"/>
  <c r="AB310" i="4"/>
  <c r="AP310" i="4" s="1"/>
  <c r="O310" i="4"/>
  <c r="AB363" i="4"/>
  <c r="AP363" i="4" s="1"/>
  <c r="O363" i="4"/>
  <c r="AB453" i="4"/>
  <c r="AP453" i="4" s="1"/>
  <c r="O453" i="4"/>
  <c r="AB230" i="4"/>
  <c r="AP230" i="4" s="1"/>
  <c r="O230" i="4"/>
  <c r="AB318" i="4"/>
  <c r="AP318" i="4" s="1"/>
  <c r="O318" i="4"/>
  <c r="AB455" i="4"/>
  <c r="AP455" i="4" s="1"/>
  <c r="O455" i="4"/>
  <c r="O69" i="4"/>
  <c r="O93" i="4"/>
  <c r="O100" i="4"/>
  <c r="O109" i="4"/>
  <c r="O124" i="4"/>
  <c r="O126" i="4"/>
  <c r="O134" i="4"/>
  <c r="O142" i="4"/>
  <c r="O150" i="4"/>
  <c r="O189" i="4"/>
  <c r="AB206" i="4"/>
  <c r="AP206" i="4" s="1"/>
  <c r="O206" i="4"/>
  <c r="O253" i="4"/>
  <c r="AB270" i="4"/>
  <c r="AP270" i="4" s="1"/>
  <c r="O270" i="4"/>
  <c r="AB331" i="4"/>
  <c r="AP331" i="4" s="1"/>
  <c r="O331" i="4"/>
  <c r="O357" i="4"/>
  <c r="O407" i="4"/>
  <c r="O181" i="4"/>
  <c r="AB198" i="4"/>
  <c r="AP198" i="4" s="1"/>
  <c r="O198" i="4"/>
  <c r="O245" i="4"/>
  <c r="AB262" i="4"/>
  <c r="AP262" i="4" s="1"/>
  <c r="O262" i="4"/>
  <c r="AB302" i="4"/>
  <c r="AP302" i="4" s="1"/>
  <c r="O302" i="4"/>
  <c r="AB405" i="4"/>
  <c r="AP405" i="4" s="1"/>
  <c r="O405" i="4"/>
  <c r="AB166" i="4"/>
  <c r="AP166" i="4" s="1"/>
  <c r="O166" i="4"/>
  <c r="AB190" i="4"/>
  <c r="AP190" i="4" s="1"/>
  <c r="O190" i="4"/>
  <c r="O237" i="4"/>
  <c r="AB254" i="4"/>
  <c r="AP254" i="4" s="1"/>
  <c r="O254" i="4"/>
  <c r="AB353" i="4"/>
  <c r="AP353" i="4" s="1"/>
  <c r="O353" i="4"/>
  <c r="O372" i="4"/>
  <c r="O385" i="4"/>
  <c r="O396" i="4"/>
  <c r="O326" i="4"/>
  <c r="O358" i="4"/>
  <c r="O390" i="4"/>
  <c r="O406" i="4"/>
  <c r="O433" i="4"/>
  <c r="O454" i="4"/>
  <c r="O515" i="4"/>
  <c r="AB526" i="4"/>
  <c r="AP526" i="4" s="1"/>
  <c r="O526" i="4"/>
  <c r="O441" i="4"/>
  <c r="O462" i="4"/>
  <c r="O470" i="4"/>
  <c r="O478" i="4"/>
  <c r="O486" i="4"/>
  <c r="O494" i="4"/>
  <c r="O511" i="4"/>
  <c r="O560" i="4"/>
  <c r="O355" i="4"/>
  <c r="O387" i="4"/>
  <c r="O403" i="4"/>
  <c r="O409" i="4"/>
  <c r="O445" i="4"/>
  <c r="O447" i="4"/>
  <c r="O457" i="4"/>
  <c r="O499" i="4"/>
  <c r="O535" i="4"/>
  <c r="O541" i="4"/>
  <c r="O592" i="4"/>
  <c r="O342" i="4"/>
  <c r="O374" i="4"/>
  <c r="O398" i="4"/>
  <c r="O422" i="4"/>
  <c r="O465" i="4"/>
  <c r="O473" i="4"/>
  <c r="O481" i="4"/>
  <c r="O489" i="4"/>
  <c r="O497" i="4"/>
  <c r="AB590" i="4"/>
  <c r="AP590" i="4" s="1"/>
  <c r="O590" i="4"/>
  <c r="O463" i="4"/>
  <c r="O471" i="4"/>
  <c r="O479" i="4"/>
  <c r="O487" i="4"/>
  <c r="O495" i="4"/>
  <c r="O334" i="4"/>
  <c r="O366" i="4"/>
  <c r="O527" i="4"/>
  <c r="O559" i="4"/>
  <c r="O591" i="4"/>
  <c r="O506" i="4"/>
  <c r="O530" i="4"/>
  <c r="O562" i="4"/>
  <c r="O594" i="4"/>
  <c r="O543" i="4"/>
  <c r="O575" i="4"/>
  <c r="O503" i="4"/>
  <c r="O519" i="4"/>
  <c r="O551" i="4"/>
  <c r="O583" i="4"/>
  <c r="AP473" i="4" l="1"/>
  <c r="AO473" i="4"/>
  <c r="AN473" i="4"/>
  <c r="AP520" i="4"/>
  <c r="AR520" i="4" s="1"/>
  <c r="AO520" i="4"/>
  <c r="AP235" i="4"/>
  <c r="AR235" i="4" s="1"/>
  <c r="AO235" i="4"/>
  <c r="AN235" i="4"/>
  <c r="AP78" i="4"/>
  <c r="AQ78" i="4" s="1"/>
  <c r="AN78" i="4"/>
  <c r="AP415" i="4"/>
  <c r="AR415" i="4" s="1"/>
  <c r="AO415" i="4"/>
  <c r="AN415" i="4"/>
  <c r="AP494" i="4"/>
  <c r="AR494" i="4" s="1"/>
  <c r="AO494" i="4"/>
  <c r="AN494" i="4"/>
  <c r="S11" i="4"/>
  <c r="D14" i="20" s="1"/>
  <c r="AP263" i="4"/>
  <c r="AR263" i="4" s="1"/>
  <c r="AO263" i="4"/>
  <c r="AN263" i="4"/>
  <c r="AP571" i="4"/>
  <c r="AQ571" i="4" s="1"/>
  <c r="AN571" i="4"/>
  <c r="AP245" i="4"/>
  <c r="AQ245" i="4" s="1"/>
  <c r="AN245" i="4"/>
  <c r="AO245" i="4"/>
  <c r="AP529" i="4"/>
  <c r="AQ529" i="4" s="1"/>
  <c r="AO529" i="4"/>
  <c r="AN529" i="4"/>
  <c r="AN328" i="4"/>
  <c r="AO328" i="4"/>
  <c r="S16" i="4"/>
  <c r="AO78" i="4"/>
  <c r="AP92" i="4"/>
  <c r="AR92" i="4" s="1"/>
  <c r="AO92" i="4"/>
  <c r="AN92" i="4"/>
  <c r="AP592" i="4"/>
  <c r="AR592" i="4" s="1"/>
  <c r="AO592" i="4"/>
  <c r="AN592" i="4"/>
  <c r="AP557" i="4"/>
  <c r="AQ557" i="4" s="1"/>
  <c r="AO557" i="4"/>
  <c r="AN557" i="4"/>
  <c r="AP213" i="4"/>
  <c r="AR213" i="4" s="1"/>
  <c r="AO213" i="4"/>
  <c r="AN213" i="4"/>
  <c r="AP59" i="4"/>
  <c r="AO59" i="4"/>
  <c r="AN59" i="4"/>
  <c r="AP406" i="4"/>
  <c r="AR406" i="4" s="1"/>
  <c r="AO406" i="4"/>
  <c r="AN406" i="4"/>
  <c r="AP486" i="4"/>
  <c r="AQ486" i="4" s="1"/>
  <c r="AN486" i="4"/>
  <c r="AO486" i="4"/>
  <c r="AP392" i="4"/>
  <c r="AR392" i="4" s="1"/>
  <c r="AN392" i="4"/>
  <c r="AO392" i="4"/>
  <c r="AP341" i="4"/>
  <c r="AN341" i="4"/>
  <c r="AO341" i="4"/>
  <c r="AP471" i="4"/>
  <c r="AO471" i="4"/>
  <c r="AN471" i="4"/>
  <c r="AP524" i="4"/>
  <c r="AQ524" i="4" s="1"/>
  <c r="AN524" i="4"/>
  <c r="AO524" i="4"/>
  <c r="AP251" i="4"/>
  <c r="AR251" i="4" s="1"/>
  <c r="AO251" i="4"/>
  <c r="AN251" i="4"/>
  <c r="AG205" i="4"/>
  <c r="Y205" i="4"/>
  <c r="AA205" i="4" s="1"/>
  <c r="AB205" i="4"/>
  <c r="AG268" i="4"/>
  <c r="Y268" i="4"/>
  <c r="AA268" i="4" s="1"/>
  <c r="AB268" i="4"/>
  <c r="AN593" i="4"/>
  <c r="AN81" i="4"/>
  <c r="AG510" i="4"/>
  <c r="Y510" i="4"/>
  <c r="AA510" i="4" s="1"/>
  <c r="AB510" i="4"/>
  <c r="AG328" i="4"/>
  <c r="Y328" i="4"/>
  <c r="AA328" i="4" s="1"/>
  <c r="AG416" i="4"/>
  <c r="Y416" i="4"/>
  <c r="AA416" i="4" s="1"/>
  <c r="AB416" i="4"/>
  <c r="AG578" i="4"/>
  <c r="Y578" i="4"/>
  <c r="AA578" i="4" s="1"/>
  <c r="AB578" i="4"/>
  <c r="AG78" i="4"/>
  <c r="Y78" i="4"/>
  <c r="AA78" i="4" s="1"/>
  <c r="AG415" i="4"/>
  <c r="Y415" i="4"/>
  <c r="AA415" i="4" s="1"/>
  <c r="AG125" i="4"/>
  <c r="Y125" i="4"/>
  <c r="AA125" i="4" s="1"/>
  <c r="AB125" i="4"/>
  <c r="AG430" i="4"/>
  <c r="Y430" i="4"/>
  <c r="AA430" i="4" s="1"/>
  <c r="AB430" i="4"/>
  <c r="AG304" i="4"/>
  <c r="Y304" i="4"/>
  <c r="AA304" i="4" s="1"/>
  <c r="AB304" i="4"/>
  <c r="AO571" i="4"/>
  <c r="AG341" i="4"/>
  <c r="Y341" i="4"/>
  <c r="AA341" i="4" s="1"/>
  <c r="AG406" i="4"/>
  <c r="Y406" i="4"/>
  <c r="AA406" i="4" s="1"/>
  <c r="AG557" i="4"/>
  <c r="Y557" i="4"/>
  <c r="AA557" i="4" s="1"/>
  <c r="AO593" i="4"/>
  <c r="AO81" i="4"/>
  <c r="AG329" i="4"/>
  <c r="Y329" i="4"/>
  <c r="AA329" i="4" s="1"/>
  <c r="AB329" i="4"/>
  <c r="AG119" i="4"/>
  <c r="Y119" i="4"/>
  <c r="AA119" i="4" s="1"/>
  <c r="AG496" i="4"/>
  <c r="Y496" i="4"/>
  <c r="AA496" i="4" s="1"/>
  <c r="AB496" i="4"/>
  <c r="AG396" i="4"/>
  <c r="Y396" i="4"/>
  <c r="AA396" i="4" s="1"/>
  <c r="AG199" i="4"/>
  <c r="Y199" i="4"/>
  <c r="AA199" i="4" s="1"/>
  <c r="AB199" i="4"/>
  <c r="AG561" i="4"/>
  <c r="Y561" i="4"/>
  <c r="AA561" i="4" s="1"/>
  <c r="AG267" i="4"/>
  <c r="Y267" i="4"/>
  <c r="AA267" i="4" s="1"/>
  <c r="AG378" i="4"/>
  <c r="Y378" i="4"/>
  <c r="AA378" i="4" s="1"/>
  <c r="AB378" i="4"/>
  <c r="AG488" i="4"/>
  <c r="Y488" i="4"/>
  <c r="AA488" i="4" s="1"/>
  <c r="AG152" i="4"/>
  <c r="Y152" i="4"/>
  <c r="AA152" i="4" s="1"/>
  <c r="AB152" i="4"/>
  <c r="AG344" i="4"/>
  <c r="Y344" i="4"/>
  <c r="AA344" i="4" s="1"/>
  <c r="AP67" i="4"/>
  <c r="AR67" i="4" s="1"/>
  <c r="AO67" i="4"/>
  <c r="AG216" i="4"/>
  <c r="Y216" i="4"/>
  <c r="AA216" i="4" s="1"/>
  <c r="AB216" i="4"/>
  <c r="AB163" i="4"/>
  <c r="AN163" i="4" s="1"/>
  <c r="S10" i="4"/>
  <c r="D13" i="20" s="1"/>
  <c r="AG483" i="4"/>
  <c r="Y483" i="4"/>
  <c r="AA483" i="4" s="1"/>
  <c r="AB483" i="4"/>
  <c r="AG213" i="4"/>
  <c r="Y213" i="4"/>
  <c r="AA213" i="4" s="1"/>
  <c r="AG56" i="4"/>
  <c r="Y56" i="4"/>
  <c r="AA56" i="4" s="1"/>
  <c r="AB56" i="4"/>
  <c r="AN463" i="4"/>
  <c r="AG315" i="4"/>
  <c r="Y315" i="4"/>
  <c r="AA315" i="4" s="1"/>
  <c r="AB315" i="4"/>
  <c r="AB119" i="4"/>
  <c r="AG520" i="4"/>
  <c r="Y520" i="4"/>
  <c r="AA520" i="4" s="1"/>
  <c r="AG593" i="4"/>
  <c r="Y593" i="4"/>
  <c r="AA593" i="4" s="1"/>
  <c r="AG226" i="4"/>
  <c r="Y226" i="4"/>
  <c r="AA226" i="4" s="1"/>
  <c r="AB226" i="4"/>
  <c r="AB396" i="4"/>
  <c r="AG507" i="4"/>
  <c r="Y507" i="4"/>
  <c r="AA507" i="4" s="1"/>
  <c r="AB507" i="4"/>
  <c r="AG422" i="4"/>
  <c r="Y422" i="4"/>
  <c r="AA422" i="4" s="1"/>
  <c r="AB561" i="4"/>
  <c r="AB267" i="4"/>
  <c r="AG317" i="4"/>
  <c r="Y317" i="4"/>
  <c r="AA317" i="4" s="1"/>
  <c r="AB317" i="4"/>
  <c r="AB488" i="4"/>
  <c r="AG263" i="4"/>
  <c r="Y263" i="4"/>
  <c r="AA263" i="4" s="1"/>
  <c r="AB344" i="4"/>
  <c r="AG135" i="4"/>
  <c r="Y135" i="4"/>
  <c r="AA135" i="4" s="1"/>
  <c r="AP495" i="4"/>
  <c r="AR495" i="4" s="1"/>
  <c r="AO495" i="4"/>
  <c r="AG284" i="4"/>
  <c r="Y284" i="4"/>
  <c r="AA284" i="4" s="1"/>
  <c r="AB284" i="4"/>
  <c r="AG212" i="4"/>
  <c r="Y212" i="4"/>
  <c r="AA212" i="4" s="1"/>
  <c r="AB212" i="4"/>
  <c r="AG84" i="4"/>
  <c r="Y84" i="4"/>
  <c r="AA84" i="4" s="1"/>
  <c r="AG588" i="4"/>
  <c r="Y588" i="4"/>
  <c r="AA588" i="4" s="1"/>
  <c r="AB588" i="4"/>
  <c r="AG481" i="4"/>
  <c r="Y481" i="4"/>
  <c r="AA481" i="4" s="1"/>
  <c r="AB481" i="4"/>
  <c r="AG449" i="4"/>
  <c r="Y449" i="4"/>
  <c r="AA449" i="4" s="1"/>
  <c r="AB449" i="4"/>
  <c r="AB84" i="4"/>
  <c r="AO463" i="4"/>
  <c r="AG60" i="4"/>
  <c r="Y60" i="4"/>
  <c r="AA60" i="4" s="1"/>
  <c r="AB60" i="4"/>
  <c r="AO135" i="4"/>
  <c r="AG441" i="4"/>
  <c r="Y441" i="4"/>
  <c r="AA441" i="4" s="1"/>
  <c r="AG91" i="4"/>
  <c r="Y91" i="4"/>
  <c r="AA91" i="4" s="1"/>
  <c r="AB91" i="4"/>
  <c r="AG579" i="4"/>
  <c r="Y579" i="4"/>
  <c r="AA579" i="4" s="1"/>
  <c r="AB579" i="4"/>
  <c r="AG248" i="4"/>
  <c r="Y248" i="4"/>
  <c r="AA248" i="4" s="1"/>
  <c r="AG586" i="4"/>
  <c r="Y586" i="4"/>
  <c r="AA586" i="4" s="1"/>
  <c r="AG249" i="4"/>
  <c r="Y249" i="4"/>
  <c r="AA249" i="4" s="1"/>
  <c r="AB249" i="4"/>
  <c r="AG511" i="4"/>
  <c r="Y511" i="4"/>
  <c r="AA511" i="4" s="1"/>
  <c r="AB511" i="4"/>
  <c r="AG376" i="4"/>
  <c r="Y376" i="4"/>
  <c r="AA376" i="4" s="1"/>
  <c r="AB376" i="4"/>
  <c r="AG524" i="4"/>
  <c r="Y524" i="4"/>
  <c r="AA524" i="4" s="1"/>
  <c r="AG59" i="4"/>
  <c r="Y59" i="4"/>
  <c r="AA59" i="4" s="1"/>
  <c r="AG458" i="4"/>
  <c r="Y458" i="4"/>
  <c r="AA458" i="4" s="1"/>
  <c r="AB458" i="4"/>
  <c r="AN135" i="4"/>
  <c r="AG581" i="4"/>
  <c r="Y581" i="4"/>
  <c r="AA581" i="4" s="1"/>
  <c r="AB581" i="4"/>
  <c r="AB441" i="4"/>
  <c r="AG104" i="4"/>
  <c r="Y104" i="4"/>
  <c r="AA104" i="4" s="1"/>
  <c r="AG387" i="4"/>
  <c r="Y387" i="4"/>
  <c r="AA387" i="4" s="1"/>
  <c r="AB387" i="4"/>
  <c r="AG339" i="4"/>
  <c r="Y339" i="4"/>
  <c r="AA339" i="4" s="1"/>
  <c r="AB248" i="4"/>
  <c r="AG576" i="4"/>
  <c r="Y576" i="4"/>
  <c r="AA576" i="4" s="1"/>
  <c r="AB576" i="4"/>
  <c r="AG224" i="4"/>
  <c r="Y224" i="4"/>
  <c r="AA224" i="4" s="1"/>
  <c r="AB224" i="4"/>
  <c r="AG279" i="4"/>
  <c r="Y279" i="4"/>
  <c r="AA279" i="4" s="1"/>
  <c r="AG504" i="4"/>
  <c r="Y504" i="4"/>
  <c r="AA504" i="4" s="1"/>
  <c r="AG587" i="4"/>
  <c r="Y587" i="4"/>
  <c r="AA587" i="4" s="1"/>
  <c r="AB587" i="4"/>
  <c r="AB586" i="4"/>
  <c r="AG583" i="4"/>
  <c r="Y583" i="4"/>
  <c r="AA583" i="4" s="1"/>
  <c r="AG392" i="4"/>
  <c r="Y392" i="4"/>
  <c r="AA392" i="4" s="1"/>
  <c r="AN422" i="4"/>
  <c r="AG427" i="4"/>
  <c r="Y427" i="4"/>
  <c r="AA427" i="4" s="1"/>
  <c r="AB427" i="4"/>
  <c r="AG426" i="4"/>
  <c r="Y426" i="4"/>
  <c r="AA426" i="4" s="1"/>
  <c r="AB104" i="4"/>
  <c r="AG200" i="4"/>
  <c r="Y200" i="4"/>
  <c r="AA200" i="4" s="1"/>
  <c r="AB339" i="4"/>
  <c r="AG108" i="4"/>
  <c r="Y108" i="4"/>
  <c r="AA108" i="4" s="1"/>
  <c r="AB108" i="4"/>
  <c r="AB279" i="4"/>
  <c r="AB504" i="4"/>
  <c r="AB583" i="4"/>
  <c r="AG333" i="4"/>
  <c r="Y333" i="4"/>
  <c r="AA333" i="4" s="1"/>
  <c r="AG53" i="4"/>
  <c r="Y53" i="4"/>
  <c r="AA53" i="4" s="1"/>
  <c r="AB53" i="4"/>
  <c r="AO422" i="4"/>
  <c r="AG245" i="4"/>
  <c r="Y245" i="4"/>
  <c r="AA245" i="4" s="1"/>
  <c r="AG594" i="4"/>
  <c r="Y594" i="4"/>
  <c r="AA594" i="4" s="1"/>
  <c r="AB594" i="4"/>
  <c r="AB426" i="4"/>
  <c r="AG90" i="4"/>
  <c r="Y90" i="4"/>
  <c r="AA90" i="4" s="1"/>
  <c r="AB90" i="4"/>
  <c r="AG121" i="4"/>
  <c r="Y121" i="4"/>
  <c r="AA121" i="4" s="1"/>
  <c r="AG494" i="4"/>
  <c r="Y494" i="4"/>
  <c r="AA494" i="4" s="1"/>
  <c r="AB200" i="4"/>
  <c r="AG325" i="4"/>
  <c r="Y325" i="4"/>
  <c r="AA325" i="4" s="1"/>
  <c r="AB325" i="4"/>
  <c r="AG153" i="4"/>
  <c r="Y153" i="4"/>
  <c r="AA153" i="4" s="1"/>
  <c r="AG209" i="4"/>
  <c r="Y209" i="4"/>
  <c r="AA209" i="4" s="1"/>
  <c r="AB209" i="4"/>
  <c r="AG490" i="4"/>
  <c r="Y490" i="4"/>
  <c r="AA490" i="4" s="1"/>
  <c r="AB490" i="4"/>
  <c r="AG261" i="4"/>
  <c r="Y261" i="4"/>
  <c r="AA261" i="4" s="1"/>
  <c r="AG513" i="4"/>
  <c r="Y513" i="4"/>
  <c r="AA513" i="4" s="1"/>
  <c r="AB513" i="4"/>
  <c r="AB333" i="4"/>
  <c r="AG105" i="4"/>
  <c r="Y105" i="4"/>
  <c r="AA105" i="4" s="1"/>
  <c r="AB105" i="4"/>
  <c r="AG382" i="4"/>
  <c r="Y382" i="4"/>
  <c r="AA382" i="4" s="1"/>
  <c r="AB382" i="4"/>
  <c r="AG253" i="4"/>
  <c r="Y253" i="4"/>
  <c r="AA253" i="4" s="1"/>
  <c r="AB253" i="4"/>
  <c r="AG474" i="4"/>
  <c r="Y474" i="4"/>
  <c r="AA474" i="4" s="1"/>
  <c r="AB474" i="4"/>
  <c r="AG539" i="4"/>
  <c r="Y539" i="4"/>
  <c r="AA539" i="4" s="1"/>
  <c r="AG412" i="4"/>
  <c r="Y412" i="4"/>
  <c r="AA412" i="4" s="1"/>
  <c r="AB412" i="4"/>
  <c r="AG201" i="4"/>
  <c r="Y201" i="4"/>
  <c r="AA201" i="4" s="1"/>
  <c r="AP121" i="4"/>
  <c r="AN121" i="4"/>
  <c r="AO121" i="4"/>
  <c r="AG313" i="4"/>
  <c r="Y313" i="4"/>
  <c r="AA313" i="4" s="1"/>
  <c r="AB313" i="4"/>
  <c r="AG528" i="4"/>
  <c r="Y528" i="4"/>
  <c r="AA528" i="4" s="1"/>
  <c r="AB153" i="4"/>
  <c r="AG351" i="4"/>
  <c r="Y351" i="4"/>
  <c r="AA351" i="4" s="1"/>
  <c r="AB351" i="4"/>
  <c r="AB261" i="4"/>
  <c r="AG68" i="4"/>
  <c r="Y68" i="4"/>
  <c r="AA68" i="4" s="1"/>
  <c r="AG592" i="4"/>
  <c r="Y592" i="4"/>
  <c r="AA592" i="4" s="1"/>
  <c r="AG92" i="4"/>
  <c r="Y92" i="4"/>
  <c r="AA92" i="4" s="1"/>
  <c r="AG471" i="4"/>
  <c r="Y471" i="4"/>
  <c r="AA471" i="4" s="1"/>
  <c r="AG260" i="4"/>
  <c r="Y260" i="4"/>
  <c r="AA260" i="4" s="1"/>
  <c r="AB260" i="4"/>
  <c r="AB539" i="4"/>
  <c r="AG231" i="4"/>
  <c r="Y231" i="4"/>
  <c r="AA231" i="4" s="1"/>
  <c r="AB231" i="4"/>
  <c r="AG570" i="4"/>
  <c r="Y570" i="4"/>
  <c r="AA570" i="4" s="1"/>
  <c r="AB201" i="4"/>
  <c r="AG568" i="4"/>
  <c r="Y568" i="4"/>
  <c r="AA568" i="4" s="1"/>
  <c r="AB568" i="4"/>
  <c r="AB528" i="4"/>
  <c r="AG480" i="4"/>
  <c r="Y480" i="4"/>
  <c r="AA480" i="4" s="1"/>
  <c r="AB480" i="4"/>
  <c r="AG298" i="4"/>
  <c r="Y298" i="4"/>
  <c r="AA298" i="4" s="1"/>
  <c r="AG521" i="4"/>
  <c r="Y521" i="4"/>
  <c r="AA521" i="4" s="1"/>
  <c r="AG269" i="4"/>
  <c r="Y269" i="4"/>
  <c r="AA269" i="4" s="1"/>
  <c r="AG83" i="4"/>
  <c r="Y83" i="4"/>
  <c r="AA83" i="4" s="1"/>
  <c r="AB83" i="4"/>
  <c r="AG303" i="4"/>
  <c r="Y303" i="4"/>
  <c r="AA303" i="4" s="1"/>
  <c r="AB303" i="4"/>
  <c r="AG141" i="4"/>
  <c r="Y141" i="4"/>
  <c r="AA141" i="4" s="1"/>
  <c r="AG280" i="4"/>
  <c r="Y280" i="4"/>
  <c r="AA280" i="4" s="1"/>
  <c r="AB280" i="4"/>
  <c r="AG191" i="4"/>
  <c r="Y191" i="4"/>
  <c r="AA191" i="4" s="1"/>
  <c r="AB191" i="4"/>
  <c r="AG275" i="4"/>
  <c r="Y275" i="4"/>
  <c r="AA275" i="4" s="1"/>
  <c r="AG390" i="4"/>
  <c r="Y390" i="4"/>
  <c r="AA390" i="4" s="1"/>
  <c r="AB68" i="4"/>
  <c r="AG459" i="4"/>
  <c r="Y459" i="4"/>
  <c r="AA459" i="4" s="1"/>
  <c r="AG227" i="4"/>
  <c r="Y227" i="4"/>
  <c r="AA227" i="4" s="1"/>
  <c r="AB227" i="4"/>
  <c r="AG111" i="4"/>
  <c r="Y111" i="4"/>
  <c r="AA111" i="4" s="1"/>
  <c r="AG127" i="4"/>
  <c r="Y127" i="4"/>
  <c r="AA127" i="4" s="1"/>
  <c r="AB127" i="4"/>
  <c r="AG486" i="4"/>
  <c r="Y486" i="4"/>
  <c r="AA486" i="4" s="1"/>
  <c r="AB111" i="4"/>
  <c r="AG251" i="4"/>
  <c r="Y251" i="4"/>
  <c r="AA251" i="4" s="1"/>
  <c r="AG547" i="4"/>
  <c r="Y547" i="4"/>
  <c r="AA547" i="4" s="1"/>
  <c r="AB547" i="4"/>
  <c r="AN520" i="4"/>
  <c r="AG525" i="4"/>
  <c r="Y525" i="4"/>
  <c r="AA525" i="4" s="1"/>
  <c r="AB525" i="4"/>
  <c r="AG217" i="4"/>
  <c r="Y217" i="4"/>
  <c r="AA217" i="4" s="1"/>
  <c r="AB217" i="4"/>
  <c r="AB570" i="4"/>
  <c r="AG159" i="4"/>
  <c r="Y159" i="4"/>
  <c r="AA159" i="4" s="1"/>
  <c r="AB159" i="4"/>
  <c r="AG495" i="4"/>
  <c r="Y495" i="4"/>
  <c r="AA495" i="4" s="1"/>
  <c r="AG444" i="4"/>
  <c r="Y444" i="4"/>
  <c r="AA444" i="4" s="1"/>
  <c r="AB444" i="4"/>
  <c r="AB298" i="4"/>
  <c r="AB521" i="4"/>
  <c r="AB269" i="4"/>
  <c r="AG463" i="4"/>
  <c r="Y463" i="4"/>
  <c r="AA463" i="4" s="1"/>
  <c r="AB141" i="4"/>
  <c r="AB275" i="4"/>
  <c r="AB390" i="4"/>
  <c r="AG54" i="4"/>
  <c r="Y54" i="4"/>
  <c r="AA54" i="4" s="1"/>
  <c r="AB54" i="4"/>
  <c r="AG81" i="4"/>
  <c r="Y81" i="4"/>
  <c r="AA81" i="4" s="1"/>
  <c r="AB459" i="4"/>
  <c r="Z37" i="4"/>
  <c r="AA37" i="4" s="1"/>
  <c r="AG543" i="4"/>
  <c r="Y543" i="4"/>
  <c r="AA543" i="4" s="1"/>
  <c r="AG445" i="4"/>
  <c r="Y445" i="4"/>
  <c r="AA445" i="4" s="1"/>
  <c r="AG291" i="4"/>
  <c r="Y291" i="4"/>
  <c r="AA291" i="4" s="1"/>
  <c r="AG65" i="4"/>
  <c r="Y65" i="4"/>
  <c r="AA65" i="4" s="1"/>
  <c r="AG398" i="4"/>
  <c r="Y398" i="4"/>
  <c r="AA398" i="4" s="1"/>
  <c r="AG300" i="4"/>
  <c r="Y300" i="4"/>
  <c r="AA300" i="4" s="1"/>
  <c r="AG202" i="4"/>
  <c r="Y202" i="4"/>
  <c r="AA202" i="4" s="1"/>
  <c r="AG76" i="4"/>
  <c r="Y76" i="4"/>
  <c r="AA76" i="4" s="1"/>
  <c r="AG299" i="4"/>
  <c r="Y299" i="4"/>
  <c r="AA299" i="4" s="1"/>
  <c r="AG145" i="4"/>
  <c r="Y145" i="4"/>
  <c r="AA145" i="4" s="1"/>
  <c r="AG484" i="4"/>
  <c r="Y484" i="4"/>
  <c r="AA484" i="4" s="1"/>
  <c r="AG565" i="4"/>
  <c r="Y565" i="4"/>
  <c r="AA565" i="4" s="1"/>
  <c r="AG271" i="4"/>
  <c r="Y271" i="4"/>
  <c r="AA271" i="4" s="1"/>
  <c r="AG156" i="4"/>
  <c r="Y156" i="4"/>
  <c r="AA156" i="4" s="1"/>
  <c r="AG332" i="4"/>
  <c r="Y332" i="4"/>
  <c r="AA332" i="4" s="1"/>
  <c r="AG345" i="4"/>
  <c r="Y345" i="4"/>
  <c r="AA345" i="4" s="1"/>
  <c r="AG466" i="4"/>
  <c r="Y466" i="4"/>
  <c r="AA466" i="4" s="1"/>
  <c r="AG368" i="4"/>
  <c r="Y368" i="4"/>
  <c r="AA368" i="4" s="1"/>
  <c r="AG144" i="4"/>
  <c r="Y144" i="4"/>
  <c r="AA144" i="4" s="1"/>
  <c r="AG591" i="4"/>
  <c r="Y591" i="4"/>
  <c r="AA591" i="4" s="1"/>
  <c r="AG479" i="4"/>
  <c r="Y479" i="4"/>
  <c r="AA479" i="4" s="1"/>
  <c r="AG311" i="4"/>
  <c r="Y311" i="4"/>
  <c r="AA311" i="4" s="1"/>
  <c r="AG115" i="4"/>
  <c r="Y115" i="4"/>
  <c r="AA115" i="4" s="1"/>
  <c r="AG114" i="4"/>
  <c r="Y114" i="4"/>
  <c r="AA114" i="4" s="1"/>
  <c r="AG289" i="4"/>
  <c r="Y289" i="4"/>
  <c r="AA289" i="4" s="1"/>
  <c r="AG451" i="4"/>
  <c r="Y451" i="4"/>
  <c r="AA451" i="4" s="1"/>
  <c r="AG157" i="4"/>
  <c r="Y157" i="4"/>
  <c r="AA157" i="4" s="1"/>
  <c r="AG478" i="4"/>
  <c r="Y478" i="4"/>
  <c r="AA478" i="4" s="1"/>
  <c r="AG562" i="4"/>
  <c r="Y562" i="4"/>
  <c r="AA562" i="4" s="1"/>
  <c r="AG296" i="4"/>
  <c r="Y296" i="4"/>
  <c r="AA296" i="4" s="1"/>
  <c r="AG360" i="4"/>
  <c r="Y360" i="4"/>
  <c r="AA360" i="4" s="1"/>
  <c r="AG512" i="4"/>
  <c r="Y512" i="4"/>
  <c r="AA512" i="4" s="1"/>
  <c r="AG533" i="4"/>
  <c r="Y533" i="4"/>
  <c r="AA533" i="4" s="1"/>
  <c r="AG435" i="4"/>
  <c r="Y435" i="4"/>
  <c r="AA435" i="4" s="1"/>
  <c r="AG239" i="4"/>
  <c r="Y239" i="4"/>
  <c r="AA239" i="4" s="1"/>
  <c r="AG113" i="4"/>
  <c r="Y113" i="4"/>
  <c r="AA113" i="4" s="1"/>
  <c r="AG196" i="4"/>
  <c r="Y196" i="4"/>
  <c r="AA196" i="4" s="1"/>
  <c r="AG531" i="4"/>
  <c r="Y531" i="4"/>
  <c r="AA531" i="4" s="1"/>
  <c r="AG139" i="4"/>
  <c r="Y139" i="4"/>
  <c r="AA139" i="4" s="1"/>
  <c r="AG219" i="4"/>
  <c r="Y219" i="4"/>
  <c r="AA219" i="4" s="1"/>
  <c r="AG476" i="4"/>
  <c r="Y476" i="4"/>
  <c r="AA476" i="4" s="1"/>
  <c r="AG364" i="4"/>
  <c r="Y364" i="4"/>
  <c r="AA364" i="4" s="1"/>
  <c r="AG266" i="4"/>
  <c r="Y266" i="4"/>
  <c r="AA266" i="4" s="1"/>
  <c r="AG461" i="4"/>
  <c r="Y461" i="4"/>
  <c r="AA461" i="4" s="1"/>
  <c r="AG388" i="4"/>
  <c r="Y388" i="4"/>
  <c r="AA388" i="4" s="1"/>
  <c r="AG107" i="4"/>
  <c r="Y107" i="4"/>
  <c r="AA107" i="4" s="1"/>
  <c r="AG234" i="4"/>
  <c r="Y234" i="4"/>
  <c r="AA234" i="4" s="1"/>
  <c r="AG79" i="4"/>
  <c r="Y79" i="4"/>
  <c r="AA79" i="4" s="1"/>
  <c r="AG460" i="4"/>
  <c r="Y460" i="4"/>
  <c r="AA460" i="4" s="1"/>
  <c r="AG362" i="4"/>
  <c r="Y362" i="4"/>
  <c r="AA362" i="4" s="1"/>
  <c r="AG264" i="4"/>
  <c r="Y264" i="4"/>
  <c r="AA264" i="4" s="1"/>
  <c r="AG138" i="4"/>
  <c r="Y138" i="4"/>
  <c r="AA138" i="4" s="1"/>
  <c r="AG417" i="4"/>
  <c r="Y417" i="4"/>
  <c r="AA417" i="4" s="1"/>
  <c r="AG221" i="4"/>
  <c r="Y221" i="4"/>
  <c r="AA221" i="4" s="1"/>
  <c r="AG514" i="4"/>
  <c r="Y514" i="4"/>
  <c r="AA514" i="4" s="1"/>
  <c r="AG120" i="4"/>
  <c r="Y120" i="4"/>
  <c r="AA120" i="4" s="1"/>
  <c r="AB543" i="4"/>
  <c r="AB445" i="4"/>
  <c r="AB291" i="4"/>
  <c r="AB65" i="4"/>
  <c r="AB398" i="4"/>
  <c r="AB300" i="4"/>
  <c r="AB202" i="4"/>
  <c r="AB76" i="4"/>
  <c r="AB299" i="4"/>
  <c r="AB145" i="4"/>
  <c r="AB484" i="4"/>
  <c r="AB565" i="4"/>
  <c r="AB271" i="4"/>
  <c r="AB156" i="4"/>
  <c r="AB332" i="4"/>
  <c r="AB345" i="4"/>
  <c r="AB466" i="4"/>
  <c r="AB368" i="4"/>
  <c r="AB144" i="4"/>
  <c r="AB591" i="4"/>
  <c r="AB479" i="4"/>
  <c r="AB311" i="4"/>
  <c r="AB115" i="4"/>
  <c r="AB114" i="4"/>
  <c r="AB289" i="4"/>
  <c r="AB451" i="4"/>
  <c r="AB157" i="4"/>
  <c r="AB478" i="4"/>
  <c r="AB562" i="4"/>
  <c r="AB296" i="4"/>
  <c r="AB360" i="4"/>
  <c r="AB512" i="4"/>
  <c r="AB533" i="4"/>
  <c r="AB435" i="4"/>
  <c r="AB239" i="4"/>
  <c r="AB113" i="4"/>
  <c r="AB196" i="4"/>
  <c r="AB531" i="4"/>
  <c r="AB139" i="4"/>
  <c r="AB219" i="4"/>
  <c r="AB476" i="4"/>
  <c r="AB364" i="4"/>
  <c r="AB266" i="4"/>
  <c r="AB461" i="4"/>
  <c r="AB388" i="4"/>
  <c r="AB107" i="4"/>
  <c r="AB234" i="4"/>
  <c r="AB79" i="4"/>
  <c r="AB460" i="4"/>
  <c r="AB362" i="4"/>
  <c r="AB264" i="4"/>
  <c r="AB138" i="4"/>
  <c r="AB417" i="4"/>
  <c r="AB221" i="4"/>
  <c r="AB514" i="4"/>
  <c r="AB120" i="4"/>
  <c r="AG529" i="4"/>
  <c r="Y529" i="4"/>
  <c r="AA529" i="4" s="1"/>
  <c r="AG235" i="4"/>
  <c r="Y235" i="4"/>
  <c r="AA235" i="4" s="1"/>
  <c r="AG595" i="4"/>
  <c r="Y595" i="4"/>
  <c r="AA595" i="4" s="1"/>
  <c r="AG497" i="4"/>
  <c r="Y497" i="4"/>
  <c r="AA497" i="4" s="1"/>
  <c r="AG399" i="4"/>
  <c r="Y399" i="4"/>
  <c r="AA399" i="4" s="1"/>
  <c r="AG301" i="4"/>
  <c r="Y301" i="4"/>
  <c r="AA301" i="4" s="1"/>
  <c r="AG203" i="4"/>
  <c r="Y203" i="4"/>
  <c r="AA203" i="4" s="1"/>
  <c r="AG77" i="4"/>
  <c r="Y77" i="4"/>
  <c r="AA77" i="4" s="1"/>
  <c r="AG192" i="4"/>
  <c r="Y192" i="4"/>
  <c r="AA192" i="4" s="1"/>
  <c r="AG580" i="4"/>
  <c r="Y580" i="4"/>
  <c r="AA580" i="4" s="1"/>
  <c r="AG482" i="4"/>
  <c r="Y482" i="4"/>
  <c r="AA482" i="4" s="1"/>
  <c r="AG384" i="4"/>
  <c r="Y384" i="4"/>
  <c r="AA384" i="4" s="1"/>
  <c r="AG160" i="4"/>
  <c r="Y160" i="4"/>
  <c r="AA160" i="4" s="1"/>
  <c r="AG62" i="4"/>
  <c r="Y62" i="4"/>
  <c r="AA62" i="4" s="1"/>
  <c r="AG285" i="4"/>
  <c r="Y285" i="4"/>
  <c r="AA285" i="4" s="1"/>
  <c r="AG131" i="4"/>
  <c r="Y131" i="4"/>
  <c r="AA131" i="4" s="1"/>
  <c r="AG142" i="4"/>
  <c r="Y142" i="4"/>
  <c r="AA142" i="4" s="1"/>
  <c r="AG150" i="4"/>
  <c r="Y150" i="4"/>
  <c r="AA150" i="4" s="1"/>
  <c r="AG400" i="4"/>
  <c r="Y400" i="4"/>
  <c r="AA400" i="4" s="1"/>
  <c r="AG551" i="4"/>
  <c r="Y551" i="4"/>
  <c r="AA551" i="4" s="1"/>
  <c r="AG215" i="4"/>
  <c r="Y215" i="4"/>
  <c r="AA215" i="4" s="1"/>
  <c r="AG86" i="4"/>
  <c r="Y86" i="4"/>
  <c r="AA86" i="4" s="1"/>
  <c r="AG276" i="4"/>
  <c r="Y276" i="4"/>
  <c r="AA276" i="4" s="1"/>
  <c r="AG247" i="4"/>
  <c r="Y247" i="4"/>
  <c r="AA247" i="4" s="1"/>
  <c r="AG550" i="4"/>
  <c r="Y550" i="4"/>
  <c r="AA550" i="4" s="1"/>
  <c r="AG452" i="4"/>
  <c r="Y452" i="4"/>
  <c r="AA452" i="4" s="1"/>
  <c r="AG354" i="4"/>
  <c r="Y354" i="4"/>
  <c r="AA354" i="4" s="1"/>
  <c r="AG256" i="4"/>
  <c r="Y256" i="4"/>
  <c r="AA256" i="4" s="1"/>
  <c r="AG130" i="4"/>
  <c r="Y130" i="4"/>
  <c r="AA130" i="4" s="1"/>
  <c r="AG577" i="4"/>
  <c r="Y577" i="4"/>
  <c r="AA577" i="4" s="1"/>
  <c r="AG465" i="4"/>
  <c r="Y465" i="4"/>
  <c r="AA465" i="4" s="1"/>
  <c r="AG297" i="4"/>
  <c r="Y297" i="4"/>
  <c r="AA297" i="4" s="1"/>
  <c r="AG73" i="4"/>
  <c r="Y73" i="4"/>
  <c r="AA73" i="4" s="1"/>
  <c r="S6" i="4"/>
  <c r="D8" i="20" s="1"/>
  <c r="AG72" i="4"/>
  <c r="Y72" i="4"/>
  <c r="AA72" i="4" s="1"/>
  <c r="AG554" i="4"/>
  <c r="Y554" i="4"/>
  <c r="AA554" i="4" s="1"/>
  <c r="AG409" i="4"/>
  <c r="Y409" i="4"/>
  <c r="AA409" i="4" s="1"/>
  <c r="AG143" i="4"/>
  <c r="Y143" i="4"/>
  <c r="AA143" i="4" s="1"/>
  <c r="AG450" i="4"/>
  <c r="Y450" i="4"/>
  <c r="AA450" i="4" s="1"/>
  <c r="AG128" i="4"/>
  <c r="Y128" i="4"/>
  <c r="AA128" i="4" s="1"/>
  <c r="AG548" i="4"/>
  <c r="Y548" i="4"/>
  <c r="AA548" i="4" s="1"/>
  <c r="AG240" i="4"/>
  <c r="Y240" i="4"/>
  <c r="AA240" i="4" s="1"/>
  <c r="AG414" i="4"/>
  <c r="Y414" i="4"/>
  <c r="AA414" i="4" s="1"/>
  <c r="AG519" i="4"/>
  <c r="Y519" i="4"/>
  <c r="AA519" i="4" s="1"/>
  <c r="AG421" i="4"/>
  <c r="Y421" i="4"/>
  <c r="AA421" i="4" s="1"/>
  <c r="AG323" i="4"/>
  <c r="Y323" i="4"/>
  <c r="AA323" i="4" s="1"/>
  <c r="AG225" i="4"/>
  <c r="Y225" i="4"/>
  <c r="AA225" i="4" s="1"/>
  <c r="AG99" i="4"/>
  <c r="Y99" i="4"/>
  <c r="AA99" i="4" s="1"/>
  <c r="AG154" i="4"/>
  <c r="Y154" i="4"/>
  <c r="AA154" i="4" s="1"/>
  <c r="AG433" i="4"/>
  <c r="Y433" i="4"/>
  <c r="AA433" i="4" s="1"/>
  <c r="AG55" i="4"/>
  <c r="Y55" i="4"/>
  <c r="AA55" i="4" s="1"/>
  <c r="AG93" i="4"/>
  <c r="Y93" i="4"/>
  <c r="AA93" i="4" s="1"/>
  <c r="AG560" i="4"/>
  <c r="Y560" i="4"/>
  <c r="AA560" i="4" s="1"/>
  <c r="AG462" i="4"/>
  <c r="Y462" i="4"/>
  <c r="AA462" i="4" s="1"/>
  <c r="AG350" i="4"/>
  <c r="Y350" i="4"/>
  <c r="AA350" i="4" s="1"/>
  <c r="AG252" i="4"/>
  <c r="Y252" i="4"/>
  <c r="AA252" i="4" s="1"/>
  <c r="AG290" i="4"/>
  <c r="Y290" i="4"/>
  <c r="AA290" i="4" s="1"/>
  <c r="AG573" i="4"/>
  <c r="Y573" i="4"/>
  <c r="AA573" i="4" s="1"/>
  <c r="AG94" i="4"/>
  <c r="Y94" i="4"/>
  <c r="AA94" i="4" s="1"/>
  <c r="AG544" i="4"/>
  <c r="Y544" i="4"/>
  <c r="AA544" i="4" s="1"/>
  <c r="AG446" i="4"/>
  <c r="Y446" i="4"/>
  <c r="AA446" i="4" s="1"/>
  <c r="AG348" i="4"/>
  <c r="Y348" i="4"/>
  <c r="AA348" i="4" s="1"/>
  <c r="AG250" i="4"/>
  <c r="Y250" i="4"/>
  <c r="AA250" i="4" s="1"/>
  <c r="AG124" i="4"/>
  <c r="Y124" i="4"/>
  <c r="AA124" i="4" s="1"/>
  <c r="AG347" i="4"/>
  <c r="Y347" i="4"/>
  <c r="AA347" i="4" s="1"/>
  <c r="AG207" i="4"/>
  <c r="Y207" i="4"/>
  <c r="AA207" i="4" s="1"/>
  <c r="AG500" i="4"/>
  <c r="Y500" i="4"/>
  <c r="AA500" i="4" s="1"/>
  <c r="AB595" i="4"/>
  <c r="AB497" i="4"/>
  <c r="AB399" i="4"/>
  <c r="AB301" i="4"/>
  <c r="AB203" i="4"/>
  <c r="AB77" i="4"/>
  <c r="AB192" i="4"/>
  <c r="AB580" i="4"/>
  <c r="AB482" i="4"/>
  <c r="AB384" i="4"/>
  <c r="AB160" i="4"/>
  <c r="AB62" i="4"/>
  <c r="AB285" i="4"/>
  <c r="AB131" i="4"/>
  <c r="AB142" i="4"/>
  <c r="AB150" i="4"/>
  <c r="AB400" i="4"/>
  <c r="AB551" i="4"/>
  <c r="AB215" i="4"/>
  <c r="AB86" i="4"/>
  <c r="AB276" i="4"/>
  <c r="AB247" i="4"/>
  <c r="AB550" i="4"/>
  <c r="AB452" i="4"/>
  <c r="AB354" i="4"/>
  <c r="AB256" i="4"/>
  <c r="AB130" i="4"/>
  <c r="AB577" i="4"/>
  <c r="AB465" i="4"/>
  <c r="AB297" i="4"/>
  <c r="AB73" i="4"/>
  <c r="AB72" i="4"/>
  <c r="AB554" i="4"/>
  <c r="AB409" i="4"/>
  <c r="AB143" i="4"/>
  <c r="AB450" i="4"/>
  <c r="AB128" i="4"/>
  <c r="AB548" i="4"/>
  <c r="AB240" i="4"/>
  <c r="AB414" i="4"/>
  <c r="AB519" i="4"/>
  <c r="AB421" i="4"/>
  <c r="AB323" i="4"/>
  <c r="AB225" i="4"/>
  <c r="AB99" i="4"/>
  <c r="AB154" i="4"/>
  <c r="AB433" i="4"/>
  <c r="AB55" i="4"/>
  <c r="AB93" i="4"/>
  <c r="AB560" i="4"/>
  <c r="AB462" i="4"/>
  <c r="AB350" i="4"/>
  <c r="AB252" i="4"/>
  <c r="AB290" i="4"/>
  <c r="AB573" i="4"/>
  <c r="AB94" i="4"/>
  <c r="AB544" i="4"/>
  <c r="AB446" i="4"/>
  <c r="AB348" i="4"/>
  <c r="AB250" i="4"/>
  <c r="AB124" i="4"/>
  <c r="AB347" i="4"/>
  <c r="AB207" i="4"/>
  <c r="AB500" i="4"/>
  <c r="AG515" i="4"/>
  <c r="Y515" i="4"/>
  <c r="AA515" i="4" s="1"/>
  <c r="AG403" i="4"/>
  <c r="Y403" i="4"/>
  <c r="AA403" i="4" s="1"/>
  <c r="AG193" i="4"/>
  <c r="Y193" i="4"/>
  <c r="AA193" i="4" s="1"/>
  <c r="AQ599" i="4"/>
  <c r="AR599" i="4"/>
  <c r="AG385" i="4"/>
  <c r="Y385" i="4"/>
  <c r="AA385" i="4" s="1"/>
  <c r="AG287" i="4"/>
  <c r="Y287" i="4"/>
  <c r="AA287" i="4" s="1"/>
  <c r="AG161" i="4"/>
  <c r="Y161" i="4"/>
  <c r="AA161" i="4" s="1"/>
  <c r="AG63" i="4"/>
  <c r="Y63" i="4"/>
  <c r="AA63" i="4" s="1"/>
  <c r="AG122" i="4"/>
  <c r="Y122" i="4"/>
  <c r="AA122" i="4" s="1"/>
  <c r="AG566" i="4"/>
  <c r="Y566" i="4"/>
  <c r="AA566" i="4" s="1"/>
  <c r="AG468" i="4"/>
  <c r="Y468" i="4"/>
  <c r="AA468" i="4" s="1"/>
  <c r="AG370" i="4"/>
  <c r="Y370" i="4"/>
  <c r="AA370" i="4" s="1"/>
  <c r="AG272" i="4"/>
  <c r="Y272" i="4"/>
  <c r="AA272" i="4" s="1"/>
  <c r="AG439" i="4"/>
  <c r="Y439" i="4"/>
  <c r="AA439" i="4" s="1"/>
  <c r="AG257" i="4"/>
  <c r="Y257" i="4"/>
  <c r="AA257" i="4" s="1"/>
  <c r="AG103" i="4"/>
  <c r="Y103" i="4"/>
  <c r="AA103" i="4" s="1"/>
  <c r="AG489" i="4"/>
  <c r="Y489" i="4"/>
  <c r="AA489" i="4" s="1"/>
  <c r="AG457" i="4"/>
  <c r="Y457" i="4"/>
  <c r="AA457" i="4" s="1"/>
  <c r="AG330" i="4"/>
  <c r="Y330" i="4"/>
  <c r="AA330" i="4" s="1"/>
  <c r="AG537" i="4"/>
  <c r="Y537" i="4"/>
  <c r="AA537" i="4" s="1"/>
  <c r="AG425" i="4"/>
  <c r="Y425" i="4"/>
  <c r="AA425" i="4" s="1"/>
  <c r="AG117" i="4"/>
  <c r="Y117" i="4"/>
  <c r="AA117" i="4" s="1"/>
  <c r="AG517" i="4"/>
  <c r="Y517" i="4"/>
  <c r="AA517" i="4" s="1"/>
  <c r="AG498" i="4"/>
  <c r="Y498" i="4"/>
  <c r="AA498" i="4" s="1"/>
  <c r="AG536" i="4"/>
  <c r="Y536" i="4"/>
  <c r="AA536" i="4" s="1"/>
  <c r="AG438" i="4"/>
  <c r="Y438" i="4"/>
  <c r="AA438" i="4" s="1"/>
  <c r="AG340" i="4"/>
  <c r="Y340" i="4"/>
  <c r="AA340" i="4" s="1"/>
  <c r="AG116" i="4"/>
  <c r="Y116" i="4"/>
  <c r="AA116" i="4" s="1"/>
  <c r="AG563" i="4"/>
  <c r="Y563" i="4"/>
  <c r="AA563" i="4" s="1"/>
  <c r="AG437" i="4"/>
  <c r="Y437" i="4"/>
  <c r="AA437" i="4" s="1"/>
  <c r="AG283" i="4"/>
  <c r="Y283" i="4"/>
  <c r="AA283" i="4" s="1"/>
  <c r="AG503" i="4"/>
  <c r="Y503" i="4"/>
  <c r="AA503" i="4" s="1"/>
  <c r="AG395" i="4"/>
  <c r="Y395" i="4"/>
  <c r="AA395" i="4" s="1"/>
  <c r="AG129" i="4"/>
  <c r="Y129" i="4"/>
  <c r="AA129" i="4" s="1"/>
  <c r="AG408" i="4"/>
  <c r="Y408" i="4"/>
  <c r="AA408" i="4" s="1"/>
  <c r="AG100" i="4"/>
  <c r="Y100" i="4"/>
  <c r="AA100" i="4" s="1"/>
  <c r="AG555" i="4"/>
  <c r="Y555" i="4"/>
  <c r="AA555" i="4" s="1"/>
  <c r="AG316" i="4"/>
  <c r="Y316" i="4"/>
  <c r="AA316" i="4" s="1"/>
  <c r="AG505" i="4"/>
  <c r="Y505" i="4"/>
  <c r="AA505" i="4" s="1"/>
  <c r="AG407" i="4"/>
  <c r="Y407" i="4"/>
  <c r="AA407" i="4" s="1"/>
  <c r="AG309" i="4"/>
  <c r="Y309" i="4"/>
  <c r="AA309" i="4" s="1"/>
  <c r="AG211" i="4"/>
  <c r="Y211" i="4"/>
  <c r="AA211" i="4" s="1"/>
  <c r="AG85" i="4"/>
  <c r="Y85" i="4"/>
  <c r="AA85" i="4" s="1"/>
  <c r="AG140" i="4"/>
  <c r="Y140" i="4"/>
  <c r="AA140" i="4" s="1"/>
  <c r="AG391" i="4"/>
  <c r="Y391" i="4"/>
  <c r="AA391" i="4" s="1"/>
  <c r="AG346" i="4"/>
  <c r="Y346" i="4"/>
  <c r="AA346" i="4" s="1"/>
  <c r="AG596" i="4"/>
  <c r="Y596" i="4"/>
  <c r="AA596" i="4" s="1"/>
  <c r="AG546" i="4"/>
  <c r="Y546" i="4"/>
  <c r="AA546" i="4" s="1"/>
  <c r="AG448" i="4"/>
  <c r="Y448" i="4"/>
  <c r="AA448" i="4" s="1"/>
  <c r="AG336" i="4"/>
  <c r="Y336" i="4"/>
  <c r="AA336" i="4" s="1"/>
  <c r="AG377" i="4"/>
  <c r="Y377" i="4"/>
  <c r="AA377" i="4" s="1"/>
  <c r="AG136" i="4"/>
  <c r="Y136" i="4"/>
  <c r="AA136" i="4" s="1"/>
  <c r="AG559" i="4"/>
  <c r="Y559" i="4"/>
  <c r="AA559" i="4" s="1"/>
  <c r="AG597" i="4"/>
  <c r="Y597" i="4"/>
  <c r="AA597" i="4" s="1"/>
  <c r="AG372" i="4"/>
  <c r="Y372" i="4"/>
  <c r="AA372" i="4" s="1"/>
  <c r="AG530" i="4"/>
  <c r="Y530" i="4"/>
  <c r="AA530" i="4" s="1"/>
  <c r="AG432" i="4"/>
  <c r="Y432" i="4"/>
  <c r="AA432" i="4" s="1"/>
  <c r="AG334" i="4"/>
  <c r="Y334" i="4"/>
  <c r="AA334" i="4" s="1"/>
  <c r="AG236" i="4"/>
  <c r="Y236" i="4"/>
  <c r="AA236" i="4" s="1"/>
  <c r="AG110" i="4"/>
  <c r="Y110" i="4"/>
  <c r="AA110" i="4" s="1"/>
  <c r="AG319" i="4"/>
  <c r="Y319" i="4"/>
  <c r="AA319" i="4" s="1"/>
  <c r="AG137" i="4"/>
  <c r="Y137" i="4"/>
  <c r="AA137" i="4" s="1"/>
  <c r="AG472" i="4"/>
  <c r="Y472" i="4"/>
  <c r="AA472" i="4" s="1"/>
  <c r="AG149" i="4"/>
  <c r="Y149" i="4"/>
  <c r="AA149" i="4" s="1"/>
  <c r="AB515" i="4"/>
  <c r="AB403" i="4"/>
  <c r="AB193" i="4"/>
  <c r="AG428" i="4"/>
  <c r="Y428" i="4"/>
  <c r="AA428" i="4" s="1"/>
  <c r="AB385" i="4"/>
  <c r="AB287" i="4"/>
  <c r="AB161" i="4"/>
  <c r="AB63" i="4"/>
  <c r="AB122" i="4"/>
  <c r="AB566" i="4"/>
  <c r="AB468" i="4"/>
  <c r="AB370" i="4"/>
  <c r="AB272" i="4"/>
  <c r="AB439" i="4"/>
  <c r="AB257" i="4"/>
  <c r="AB103" i="4"/>
  <c r="AB489" i="4"/>
  <c r="AB457" i="4"/>
  <c r="AB330" i="4"/>
  <c r="AB537" i="4"/>
  <c r="AB425" i="4"/>
  <c r="AB117" i="4"/>
  <c r="AB517" i="4"/>
  <c r="AB498" i="4"/>
  <c r="AB536" i="4"/>
  <c r="AB438" i="4"/>
  <c r="AB340" i="4"/>
  <c r="AB116" i="4"/>
  <c r="AB563" i="4"/>
  <c r="AB437" i="4"/>
  <c r="AB283" i="4"/>
  <c r="AB503" i="4"/>
  <c r="AB395" i="4"/>
  <c r="AB129" i="4"/>
  <c r="AB408" i="4"/>
  <c r="AB100" i="4"/>
  <c r="AB555" i="4"/>
  <c r="AB316" i="4"/>
  <c r="AB505" i="4"/>
  <c r="AB407" i="4"/>
  <c r="AB309" i="4"/>
  <c r="AB211" i="4"/>
  <c r="AB85" i="4"/>
  <c r="AB140" i="4"/>
  <c r="AB391" i="4"/>
  <c r="AB346" i="4"/>
  <c r="AB596" i="4"/>
  <c r="AB546" i="4"/>
  <c r="AB448" i="4"/>
  <c r="AB336" i="4"/>
  <c r="AB377" i="4"/>
  <c r="AB136" i="4"/>
  <c r="AB559" i="4"/>
  <c r="AB597" i="4"/>
  <c r="AB372" i="4"/>
  <c r="AB530" i="4"/>
  <c r="AB432" i="4"/>
  <c r="AB334" i="4"/>
  <c r="AB236" i="4"/>
  <c r="AB110" i="4"/>
  <c r="AB319" i="4"/>
  <c r="AB137" i="4"/>
  <c r="AB472" i="4"/>
  <c r="AB149" i="4"/>
  <c r="AG501" i="4"/>
  <c r="Y501" i="4"/>
  <c r="AA501" i="4" s="1"/>
  <c r="AG151" i="4"/>
  <c r="Y151" i="4"/>
  <c r="AA151" i="4" s="1"/>
  <c r="AB428" i="4"/>
  <c r="AG567" i="4"/>
  <c r="Y567" i="4"/>
  <c r="AA567" i="4" s="1"/>
  <c r="AG371" i="4"/>
  <c r="Y371" i="4"/>
  <c r="AA371" i="4" s="1"/>
  <c r="AG273" i="4"/>
  <c r="Y273" i="4"/>
  <c r="AA273" i="4" s="1"/>
  <c r="AG147" i="4"/>
  <c r="Y147" i="4"/>
  <c r="AA147" i="4" s="1"/>
  <c r="AG265" i="4"/>
  <c r="Y265" i="4"/>
  <c r="AA265" i="4" s="1"/>
  <c r="AG442" i="4"/>
  <c r="Y442" i="4"/>
  <c r="AA442" i="4" s="1"/>
  <c r="AG552" i="4"/>
  <c r="Y552" i="4"/>
  <c r="AA552" i="4" s="1"/>
  <c r="AG454" i="4"/>
  <c r="Y454" i="4"/>
  <c r="AA454" i="4" s="1"/>
  <c r="AG356" i="4"/>
  <c r="Y356" i="4"/>
  <c r="AA356" i="4" s="1"/>
  <c r="AG258" i="4"/>
  <c r="Y258" i="4"/>
  <c r="AA258" i="4" s="1"/>
  <c r="AG132" i="4"/>
  <c r="Y132" i="4"/>
  <c r="AA132" i="4" s="1"/>
  <c r="AG383" i="4"/>
  <c r="Y383" i="4"/>
  <c r="AA383" i="4" s="1"/>
  <c r="AG243" i="4"/>
  <c r="Y243" i="4"/>
  <c r="AA243" i="4" s="1"/>
  <c r="AG89" i="4"/>
  <c r="Y89" i="4"/>
  <c r="AA89" i="4" s="1"/>
  <c r="AG195" i="4"/>
  <c r="Y195" i="4"/>
  <c r="AA195" i="4" s="1"/>
  <c r="AG359" i="4"/>
  <c r="Y359" i="4"/>
  <c r="AA359" i="4" s="1"/>
  <c r="AG523" i="4"/>
  <c r="Y523" i="4"/>
  <c r="AA523" i="4" s="1"/>
  <c r="AG411" i="4"/>
  <c r="Y411" i="4"/>
  <c r="AA411" i="4" s="1"/>
  <c r="AG61" i="4"/>
  <c r="Y61" i="4"/>
  <c r="AA61" i="4" s="1"/>
  <c r="AG223" i="4"/>
  <c r="Y223" i="4"/>
  <c r="AA223" i="4" s="1"/>
  <c r="AG52" i="4"/>
  <c r="Y52" i="4"/>
  <c r="AA52" i="4" s="1"/>
  <c r="AG358" i="4"/>
  <c r="Y358" i="4"/>
  <c r="AA358" i="4" s="1"/>
  <c r="AG522" i="4"/>
  <c r="Y522" i="4"/>
  <c r="AA522" i="4" s="1"/>
  <c r="AG424" i="4"/>
  <c r="Y424" i="4"/>
  <c r="AA424" i="4" s="1"/>
  <c r="AG326" i="4"/>
  <c r="Y326" i="4"/>
  <c r="AA326" i="4" s="1"/>
  <c r="AG228" i="4"/>
  <c r="Y228" i="4"/>
  <c r="AA228" i="4" s="1"/>
  <c r="AG102" i="4"/>
  <c r="Y102" i="4"/>
  <c r="AA102" i="4" s="1"/>
  <c r="AG549" i="4"/>
  <c r="Y549" i="4"/>
  <c r="AA549" i="4" s="1"/>
  <c r="AG255" i="4"/>
  <c r="Y255" i="4"/>
  <c r="AA255" i="4" s="1"/>
  <c r="AG386" i="4"/>
  <c r="Y386" i="4"/>
  <c r="AA386" i="4" s="1"/>
  <c r="AG367" i="4"/>
  <c r="Y367" i="4"/>
  <c r="AA367" i="4" s="1"/>
  <c r="AG101" i="4"/>
  <c r="Y101" i="4"/>
  <c r="AA101" i="4" s="1"/>
  <c r="AG380" i="4"/>
  <c r="Y380" i="4"/>
  <c r="AA380" i="4" s="1"/>
  <c r="AG419" i="4"/>
  <c r="Y419" i="4"/>
  <c r="AA419" i="4" s="1"/>
  <c r="AG506" i="4"/>
  <c r="Y506" i="4"/>
  <c r="AA506" i="4" s="1"/>
  <c r="AG475" i="4"/>
  <c r="Y475" i="4"/>
  <c r="AA475" i="4" s="1"/>
  <c r="AG527" i="4"/>
  <c r="Y527" i="4"/>
  <c r="AA527" i="4" s="1"/>
  <c r="AG589" i="4"/>
  <c r="Y589" i="4"/>
  <c r="AA589" i="4" s="1"/>
  <c r="AG295" i="4"/>
  <c r="Y295" i="4"/>
  <c r="AA295" i="4" s="1"/>
  <c r="AG197" i="4"/>
  <c r="Y197" i="4"/>
  <c r="AA197" i="4" s="1"/>
  <c r="AG71" i="4"/>
  <c r="Y71" i="4"/>
  <c r="AA71" i="4" s="1"/>
  <c r="AG112" i="4"/>
  <c r="Y112" i="4"/>
  <c r="AA112" i="4" s="1"/>
  <c r="AG349" i="4"/>
  <c r="Y349" i="4"/>
  <c r="AA349" i="4" s="1"/>
  <c r="AG456" i="4"/>
  <c r="Y456" i="4"/>
  <c r="AA456" i="4" s="1"/>
  <c r="AG434" i="4"/>
  <c r="Y434" i="4"/>
  <c r="AA434" i="4" s="1"/>
  <c r="AG322" i="4"/>
  <c r="Y322" i="4"/>
  <c r="AA322" i="4" s="1"/>
  <c r="AG335" i="4"/>
  <c r="Y335" i="4"/>
  <c r="AA335" i="4" s="1"/>
  <c r="AG545" i="4"/>
  <c r="Y545" i="4"/>
  <c r="AA545" i="4" s="1"/>
  <c r="AG499" i="4"/>
  <c r="Y499" i="4"/>
  <c r="AA499" i="4" s="1"/>
  <c r="AG218" i="4"/>
  <c r="Y218" i="4"/>
  <c r="AA218" i="4" s="1"/>
  <c r="AG418" i="4"/>
  <c r="Y418" i="4"/>
  <c r="AA418" i="4" s="1"/>
  <c r="AG320" i="4"/>
  <c r="Y320" i="4"/>
  <c r="AA320" i="4" s="1"/>
  <c r="AG305" i="4"/>
  <c r="Y305" i="4"/>
  <c r="AA305" i="4" s="1"/>
  <c r="AG123" i="4"/>
  <c r="Y123" i="4"/>
  <c r="AA123" i="4" s="1"/>
  <c r="AG374" i="4"/>
  <c r="Y374" i="4"/>
  <c r="AA374" i="4" s="1"/>
  <c r="AG582" i="4"/>
  <c r="Y582" i="4"/>
  <c r="AA582" i="4" s="1"/>
  <c r="AR598" i="4"/>
  <c r="AQ598" i="4"/>
  <c r="AB501" i="4"/>
  <c r="AB151" i="4"/>
  <c r="AG288" i="4"/>
  <c r="Y288" i="4"/>
  <c r="AA288" i="4" s="1"/>
  <c r="AB567" i="4"/>
  <c r="AB371" i="4"/>
  <c r="AB273" i="4"/>
  <c r="AB147" i="4"/>
  <c r="AB265" i="4"/>
  <c r="AB442" i="4"/>
  <c r="AB552" i="4"/>
  <c r="AB454" i="4"/>
  <c r="AB356" i="4"/>
  <c r="AB258" i="4"/>
  <c r="AB132" i="4"/>
  <c r="AB383" i="4"/>
  <c r="AB243" i="4"/>
  <c r="AB89" i="4"/>
  <c r="AB195" i="4"/>
  <c r="AB359" i="4"/>
  <c r="AB523" i="4"/>
  <c r="AB411" i="4"/>
  <c r="AB61" i="4"/>
  <c r="AB223" i="4"/>
  <c r="AB52" i="4"/>
  <c r="AB358" i="4"/>
  <c r="AB522" i="4"/>
  <c r="AB424" i="4"/>
  <c r="AB326" i="4"/>
  <c r="AB228" i="4"/>
  <c r="AB102" i="4"/>
  <c r="AB549" i="4"/>
  <c r="AB255" i="4"/>
  <c r="AB386" i="4"/>
  <c r="AB367" i="4"/>
  <c r="AB101" i="4"/>
  <c r="AB380" i="4"/>
  <c r="AB419" i="4"/>
  <c r="AB506" i="4"/>
  <c r="AB475" i="4"/>
  <c r="AB527" i="4"/>
  <c r="AB589" i="4"/>
  <c r="AB295" i="4"/>
  <c r="AB197" i="4"/>
  <c r="AB71" i="4"/>
  <c r="AB112" i="4"/>
  <c r="AB349" i="4"/>
  <c r="AB456" i="4"/>
  <c r="AB434" i="4"/>
  <c r="AB322" i="4"/>
  <c r="AB335" i="4"/>
  <c r="AB545" i="4"/>
  <c r="AB499" i="4"/>
  <c r="AB218" i="4"/>
  <c r="AB418" i="4"/>
  <c r="AB320" i="4"/>
  <c r="AB305" i="4"/>
  <c r="AB123" i="4"/>
  <c r="AB374" i="4"/>
  <c r="AB582" i="4"/>
  <c r="AG585" i="4"/>
  <c r="Y585" i="4"/>
  <c r="AA585" i="4" s="1"/>
  <c r="AG487" i="4"/>
  <c r="Y487" i="4"/>
  <c r="AA487" i="4" s="1"/>
  <c r="AG375" i="4"/>
  <c r="Y375" i="4"/>
  <c r="AA375" i="4" s="1"/>
  <c r="AG109" i="4"/>
  <c r="Y109" i="4"/>
  <c r="AA109" i="4" s="1"/>
  <c r="AB288" i="4"/>
  <c r="AG553" i="4"/>
  <c r="Y553" i="4"/>
  <c r="AA553" i="4" s="1"/>
  <c r="AG357" i="4"/>
  <c r="Y357" i="4"/>
  <c r="AA357" i="4" s="1"/>
  <c r="AG259" i="4"/>
  <c r="Y259" i="4"/>
  <c r="AA259" i="4" s="1"/>
  <c r="AG133" i="4"/>
  <c r="Y133" i="4"/>
  <c r="AA133" i="4" s="1"/>
  <c r="AG97" i="4"/>
  <c r="Y97" i="4"/>
  <c r="AA97" i="4" s="1"/>
  <c r="AG232" i="4"/>
  <c r="Y232" i="4"/>
  <c r="AA232" i="4" s="1"/>
  <c r="AG538" i="4"/>
  <c r="Y538" i="4"/>
  <c r="AA538" i="4" s="1"/>
  <c r="AG440" i="4"/>
  <c r="Y440" i="4"/>
  <c r="AA440" i="4" s="1"/>
  <c r="AG342" i="4"/>
  <c r="Y342" i="4"/>
  <c r="AA342" i="4" s="1"/>
  <c r="AG244" i="4"/>
  <c r="Y244" i="4"/>
  <c r="AA244" i="4" s="1"/>
  <c r="AG118" i="4"/>
  <c r="Y118" i="4"/>
  <c r="AA118" i="4" s="1"/>
  <c r="AG355" i="4"/>
  <c r="Y355" i="4"/>
  <c r="AA355" i="4" s="1"/>
  <c r="AG229" i="4"/>
  <c r="Y229" i="4"/>
  <c r="AA229" i="4" s="1"/>
  <c r="AG75" i="4"/>
  <c r="Y75" i="4"/>
  <c r="AA75" i="4" s="1"/>
  <c r="AG556" i="4"/>
  <c r="Y556" i="4"/>
  <c r="AA556" i="4" s="1"/>
  <c r="AG233" i="4"/>
  <c r="Y233" i="4"/>
  <c r="AA233" i="4" s="1"/>
  <c r="AG134" i="4"/>
  <c r="Y134" i="4"/>
  <c r="AA134" i="4" s="1"/>
  <c r="AG509" i="4"/>
  <c r="Y509" i="4"/>
  <c r="AA509" i="4" s="1"/>
  <c r="AG397" i="4"/>
  <c r="Y397" i="4"/>
  <c r="AA397" i="4" s="1"/>
  <c r="AG492" i="4"/>
  <c r="Y492" i="4"/>
  <c r="AA492" i="4" s="1"/>
  <c r="AG69" i="4"/>
  <c r="Y69" i="4"/>
  <c r="AA69" i="4" s="1"/>
  <c r="AG569" i="4"/>
  <c r="Y569" i="4"/>
  <c r="AA569" i="4" s="1"/>
  <c r="AG508" i="4"/>
  <c r="Y508" i="4"/>
  <c r="AA508" i="4" s="1"/>
  <c r="AG410" i="4"/>
  <c r="Y410" i="4"/>
  <c r="AA410" i="4" s="1"/>
  <c r="AG312" i="4"/>
  <c r="Y312" i="4"/>
  <c r="AA312" i="4" s="1"/>
  <c r="AG88" i="4"/>
  <c r="Y88" i="4"/>
  <c r="AA88" i="4" s="1"/>
  <c r="AG535" i="4"/>
  <c r="Y535" i="4"/>
  <c r="AA535" i="4" s="1"/>
  <c r="AG381" i="4"/>
  <c r="Y381" i="4"/>
  <c r="AA381" i="4" s="1"/>
  <c r="AG241" i="4"/>
  <c r="Y241" i="4"/>
  <c r="AA241" i="4" s="1"/>
  <c r="AG352" i="4"/>
  <c r="Y352" i="4"/>
  <c r="AA352" i="4" s="1"/>
  <c r="AG402" i="4"/>
  <c r="Y402" i="4"/>
  <c r="AA402" i="4" s="1"/>
  <c r="AG87" i="4"/>
  <c r="Y87" i="4"/>
  <c r="AA87" i="4" s="1"/>
  <c r="AG366" i="4"/>
  <c r="Y366" i="4"/>
  <c r="AA366" i="4" s="1"/>
  <c r="AG293" i="4"/>
  <c r="Y293" i="4"/>
  <c r="AA293" i="4" s="1"/>
  <c r="AG464" i="4"/>
  <c r="Y464" i="4"/>
  <c r="AA464" i="4" s="1"/>
  <c r="AG237" i="4"/>
  <c r="Y237" i="4"/>
  <c r="AA237" i="4" s="1"/>
  <c r="AG485" i="4"/>
  <c r="Y485" i="4"/>
  <c r="AA485" i="4" s="1"/>
  <c r="AG575" i="4"/>
  <c r="Y575" i="4"/>
  <c r="AA575" i="4" s="1"/>
  <c r="AG477" i="4"/>
  <c r="Y477" i="4"/>
  <c r="AA477" i="4" s="1"/>
  <c r="AG281" i="4"/>
  <c r="Y281" i="4"/>
  <c r="AA281" i="4" s="1"/>
  <c r="AG155" i="4"/>
  <c r="Y155" i="4"/>
  <c r="AA155" i="4" s="1"/>
  <c r="AG57" i="4"/>
  <c r="Y57" i="4"/>
  <c r="AA57" i="4" s="1"/>
  <c r="AG98" i="4"/>
  <c r="Y98" i="4"/>
  <c r="AA98" i="4" s="1"/>
  <c r="AG321" i="4"/>
  <c r="Y321" i="4"/>
  <c r="AA321" i="4" s="1"/>
  <c r="AG541" i="4"/>
  <c r="Y541" i="4"/>
  <c r="AA541" i="4" s="1"/>
  <c r="AG518" i="4"/>
  <c r="Y518" i="4"/>
  <c r="AA518" i="4" s="1"/>
  <c r="AG420" i="4"/>
  <c r="Y420" i="4"/>
  <c r="AA420" i="4" s="1"/>
  <c r="AG308" i="4"/>
  <c r="Y308" i="4"/>
  <c r="AA308" i="4" s="1"/>
  <c r="AG126" i="4"/>
  <c r="Y126" i="4"/>
  <c r="AA126" i="4" s="1"/>
  <c r="AG307" i="4"/>
  <c r="Y307" i="4"/>
  <c r="AA307" i="4" s="1"/>
  <c r="AG401" i="4"/>
  <c r="Y401" i="4"/>
  <c r="AA401" i="4" s="1"/>
  <c r="AG447" i="4"/>
  <c r="Y447" i="4"/>
  <c r="AA447" i="4" s="1"/>
  <c r="AG373" i="4"/>
  <c r="Y373" i="4"/>
  <c r="AA373" i="4" s="1"/>
  <c r="AG106" i="4"/>
  <c r="Y106" i="4"/>
  <c r="AA106" i="4" s="1"/>
  <c r="AG502" i="4"/>
  <c r="Y502" i="4"/>
  <c r="AA502" i="4" s="1"/>
  <c r="AG404" i="4"/>
  <c r="Y404" i="4"/>
  <c r="AA404" i="4" s="1"/>
  <c r="AG306" i="4"/>
  <c r="Y306" i="4"/>
  <c r="AA306" i="4" s="1"/>
  <c r="AG208" i="4"/>
  <c r="Y208" i="4"/>
  <c r="AA208" i="4" s="1"/>
  <c r="AG82" i="4"/>
  <c r="Y82" i="4"/>
  <c r="AA82" i="4" s="1"/>
  <c r="AG277" i="4"/>
  <c r="Y277" i="4"/>
  <c r="AA277" i="4" s="1"/>
  <c r="AG95" i="4"/>
  <c r="Y95" i="4"/>
  <c r="AA95" i="4" s="1"/>
  <c r="AG470" i="4"/>
  <c r="Y470" i="4"/>
  <c r="AA470" i="4" s="1"/>
  <c r="AB585" i="4"/>
  <c r="AB487" i="4"/>
  <c r="AB375" i="4"/>
  <c r="AB109" i="4"/>
  <c r="AG162" i="4"/>
  <c r="Y162" i="4"/>
  <c r="AA162" i="4" s="1"/>
  <c r="AB553" i="4"/>
  <c r="AB357" i="4"/>
  <c r="AB259" i="4"/>
  <c r="AB133" i="4"/>
  <c r="AB97" i="4"/>
  <c r="AB232" i="4"/>
  <c r="AB538" i="4"/>
  <c r="AB440" i="4"/>
  <c r="AB342" i="4"/>
  <c r="AB244" i="4"/>
  <c r="AB118" i="4"/>
  <c r="AB355" i="4"/>
  <c r="AB229" i="4"/>
  <c r="AB75" i="4"/>
  <c r="AB556" i="4"/>
  <c r="AB233" i="4"/>
  <c r="AB134" i="4"/>
  <c r="AB509" i="4"/>
  <c r="AB397" i="4"/>
  <c r="AB492" i="4"/>
  <c r="AB69" i="4"/>
  <c r="AB569" i="4"/>
  <c r="AB508" i="4"/>
  <c r="AB410" i="4"/>
  <c r="AB312" i="4"/>
  <c r="AB88" i="4"/>
  <c r="AB535" i="4"/>
  <c r="AB381" i="4"/>
  <c r="AB241" i="4"/>
  <c r="AB352" i="4"/>
  <c r="AB402" i="4"/>
  <c r="AB87" i="4"/>
  <c r="AB366" i="4"/>
  <c r="AB293" i="4"/>
  <c r="AB464" i="4"/>
  <c r="AB237" i="4"/>
  <c r="AB485" i="4"/>
  <c r="AB575" i="4"/>
  <c r="AB477" i="4"/>
  <c r="AB281" i="4"/>
  <c r="AB155" i="4"/>
  <c r="AB57" i="4"/>
  <c r="AB98" i="4"/>
  <c r="AB321" i="4"/>
  <c r="AB541" i="4"/>
  <c r="AB518" i="4"/>
  <c r="AB420" i="4"/>
  <c r="AB308" i="4"/>
  <c r="AB126" i="4"/>
  <c r="AB307" i="4"/>
  <c r="AB401" i="4"/>
  <c r="AB447" i="4"/>
  <c r="AB373" i="4"/>
  <c r="AB106" i="4"/>
  <c r="AB502" i="4"/>
  <c r="AB404" i="4"/>
  <c r="AB306" i="4"/>
  <c r="AB208" i="4"/>
  <c r="AB82" i="4"/>
  <c r="AB277" i="4"/>
  <c r="AB95" i="4"/>
  <c r="AB470" i="4"/>
  <c r="AG571" i="4"/>
  <c r="Y571" i="4"/>
  <c r="AA571" i="4" s="1"/>
  <c r="AG473" i="4"/>
  <c r="Y473" i="4"/>
  <c r="AA473" i="4" s="1"/>
  <c r="AG67" i="4"/>
  <c r="Y67" i="4"/>
  <c r="AA67" i="4" s="1"/>
  <c r="AB162" i="4"/>
  <c r="AP178" i="4"/>
  <c r="AR178" i="4" s="1"/>
  <c r="AO178" i="4"/>
  <c r="AN178" i="4"/>
  <c r="AP168" i="4"/>
  <c r="AR168" i="4" s="1"/>
  <c r="AO168" i="4"/>
  <c r="AN168" i="4"/>
  <c r="AP163" i="4"/>
  <c r="AR163" i="4" s="1"/>
  <c r="AP185" i="4"/>
  <c r="AR185" i="4" s="1"/>
  <c r="AO185" i="4"/>
  <c r="AN185" i="4"/>
  <c r="AG164" i="4"/>
  <c r="Y164" i="4"/>
  <c r="AA164" i="4" s="1"/>
  <c r="AB164" i="4"/>
  <c r="AG181" i="4"/>
  <c r="Y181" i="4"/>
  <c r="AA181" i="4" s="1"/>
  <c r="AB181" i="4"/>
  <c r="AG177" i="4"/>
  <c r="Y177" i="4"/>
  <c r="AA177" i="4" s="1"/>
  <c r="AG175" i="4"/>
  <c r="Y175" i="4"/>
  <c r="AA175" i="4" s="1"/>
  <c r="AB177" i="4"/>
  <c r="AB175" i="4"/>
  <c r="AG163" i="4"/>
  <c r="Y163" i="4"/>
  <c r="AG178" i="4"/>
  <c r="Y178" i="4"/>
  <c r="AA178" i="4" s="1"/>
  <c r="AG185" i="4"/>
  <c r="Y185" i="4"/>
  <c r="AA185" i="4" s="1"/>
  <c r="AG168" i="4"/>
  <c r="Y168" i="4"/>
  <c r="AA168" i="4" s="1"/>
  <c r="AG176" i="4"/>
  <c r="Y176" i="4"/>
  <c r="AA176" i="4" s="1"/>
  <c r="AG184" i="4"/>
  <c r="Y184" i="4"/>
  <c r="AA184" i="4" s="1"/>
  <c r="AG167" i="4"/>
  <c r="Y167" i="4"/>
  <c r="AA167" i="4" s="1"/>
  <c r="AB176" i="4"/>
  <c r="AB184" i="4"/>
  <c r="AB167" i="4"/>
  <c r="AG188" i="4"/>
  <c r="Y188" i="4"/>
  <c r="AA188" i="4" s="1"/>
  <c r="AG173" i="4"/>
  <c r="Y173" i="4"/>
  <c r="AA173" i="4" s="1"/>
  <c r="AG170" i="4"/>
  <c r="Y170" i="4"/>
  <c r="AA170" i="4" s="1"/>
  <c r="AG180" i="4"/>
  <c r="Y180" i="4"/>
  <c r="AA180" i="4" s="1"/>
  <c r="AB188" i="4"/>
  <c r="AB173" i="4"/>
  <c r="AB170" i="4"/>
  <c r="AB180" i="4"/>
  <c r="AG165" i="4"/>
  <c r="Y165" i="4"/>
  <c r="AA165" i="4" s="1"/>
  <c r="AG186" i="4"/>
  <c r="Y186" i="4"/>
  <c r="AA186" i="4" s="1"/>
  <c r="AG183" i="4"/>
  <c r="Y183" i="4"/>
  <c r="AA183" i="4" s="1"/>
  <c r="AB165" i="4"/>
  <c r="AB186" i="4"/>
  <c r="AB183" i="4"/>
  <c r="AG189" i="4"/>
  <c r="Y189" i="4"/>
  <c r="AA189" i="4" s="1"/>
  <c r="AG172" i="4"/>
  <c r="Y172" i="4"/>
  <c r="AA172" i="4" s="1"/>
  <c r="AG169" i="4"/>
  <c r="Y169" i="4"/>
  <c r="AA169" i="4" s="1"/>
  <c r="AG179" i="4"/>
  <c r="Y179" i="4"/>
  <c r="AA179" i="4" s="1"/>
  <c r="AB189" i="4"/>
  <c r="AB172" i="4"/>
  <c r="AB169" i="4"/>
  <c r="AB179" i="4"/>
  <c r="E4" i="20"/>
  <c r="T24" i="4"/>
  <c r="AN343" i="4"/>
  <c r="AO343" i="4"/>
  <c r="AO166" i="4"/>
  <c r="AN166" i="4"/>
  <c r="AO436" i="4"/>
  <c r="AN436" i="4"/>
  <c r="AO453" i="4"/>
  <c r="AN453" i="4"/>
  <c r="AO158" i="4"/>
  <c r="AN158" i="4"/>
  <c r="AO327" i="4"/>
  <c r="AN327" i="4"/>
  <c r="AO540" i="4"/>
  <c r="AN540" i="4"/>
  <c r="AO491" i="4"/>
  <c r="AN491" i="4"/>
  <c r="AO190" i="4"/>
  <c r="AN190" i="4"/>
  <c r="AO262" i="4"/>
  <c r="AN262" i="4"/>
  <c r="AO331" i="4"/>
  <c r="AN331" i="4"/>
  <c r="AO96" i="4"/>
  <c r="AN96" i="4"/>
  <c r="AO389" i="4"/>
  <c r="AN389" i="4"/>
  <c r="AO294" i="4"/>
  <c r="AN294" i="4"/>
  <c r="AO292" i="4"/>
  <c r="AN292" i="4"/>
  <c r="AO324" i="4"/>
  <c r="AN324" i="4"/>
  <c r="AO584" i="4"/>
  <c r="AN584" i="4"/>
  <c r="AO413" i="4"/>
  <c r="AN413" i="4"/>
  <c r="AO194" i="4"/>
  <c r="AN194" i="4"/>
  <c r="AO363" i="4"/>
  <c r="AN363" i="4"/>
  <c r="AN210" i="4"/>
  <c r="AO210" i="4"/>
  <c r="AO270" i="4"/>
  <c r="AN270" i="4"/>
  <c r="AN286" i="4"/>
  <c r="AO286" i="4"/>
  <c r="AO246" i="4"/>
  <c r="AN246" i="4"/>
  <c r="AO574" i="4"/>
  <c r="AN574" i="4"/>
  <c r="AO353" i="4"/>
  <c r="AN353" i="4"/>
  <c r="AO310" i="4"/>
  <c r="AN310" i="4"/>
  <c r="AN469" i="4"/>
  <c r="AO469" i="4"/>
  <c r="AO467" i="4"/>
  <c r="AN467" i="4"/>
  <c r="AN394" i="4"/>
  <c r="AO394" i="4"/>
  <c r="AN379" i="4"/>
  <c r="AO379" i="4"/>
  <c r="AN66" i="4"/>
  <c r="AO66" i="4"/>
  <c r="AR328" i="4"/>
  <c r="AQ328" i="4"/>
  <c r="AO455" i="4"/>
  <c r="AN455" i="4"/>
  <c r="AO204" i="4"/>
  <c r="AN204" i="4"/>
  <c r="AO198" i="4"/>
  <c r="AN198" i="4"/>
  <c r="AO318" i="4"/>
  <c r="AN318" i="4"/>
  <c r="AN70" i="4"/>
  <c r="AO70" i="4"/>
  <c r="AO238" i="4"/>
  <c r="AN238" i="4"/>
  <c r="AO187" i="4"/>
  <c r="AN187" i="4"/>
  <c r="AN405" i="4"/>
  <c r="AO405" i="4"/>
  <c r="AO58" i="4"/>
  <c r="AN58" i="4"/>
  <c r="AO222" i="4"/>
  <c r="AN222" i="4"/>
  <c r="AO558" i="4"/>
  <c r="AN558" i="4"/>
  <c r="AO182" i="4"/>
  <c r="AN182" i="4"/>
  <c r="AO572" i="4"/>
  <c r="AN572" i="4"/>
  <c r="AO369" i="4"/>
  <c r="AN369" i="4"/>
  <c r="AO337" i="4"/>
  <c r="AN337" i="4"/>
  <c r="AO423" i="4"/>
  <c r="AN423" i="4"/>
  <c r="AN361" i="4"/>
  <c r="AO361" i="4"/>
  <c r="AO214" i="4"/>
  <c r="AN214" i="4"/>
  <c r="AN220" i="4"/>
  <c r="AO220" i="4"/>
  <c r="AN80" i="4"/>
  <c r="AO80" i="4"/>
  <c r="AO254" i="4"/>
  <c r="AN254" i="4"/>
  <c r="AN206" i="4"/>
  <c r="AO206" i="4"/>
  <c r="AN230" i="4"/>
  <c r="AO230" i="4"/>
  <c r="AO564" i="4"/>
  <c r="AN564" i="4"/>
  <c r="AO393" i="4"/>
  <c r="AN393" i="4"/>
  <c r="AO171" i="4"/>
  <c r="AN171" i="4"/>
  <c r="AO338" i="4"/>
  <c r="AN338" i="4"/>
  <c r="AO493" i="4"/>
  <c r="AN493" i="4"/>
  <c r="AN314" i="4"/>
  <c r="AO314" i="4"/>
  <c r="AO242" i="4"/>
  <c r="AN242" i="4"/>
  <c r="AO146" i="4"/>
  <c r="AN146" i="4"/>
  <c r="AN64" i="4"/>
  <c r="AO64" i="4"/>
  <c r="AR422" i="4"/>
  <c r="AQ422" i="4"/>
  <c r="AR593" i="4"/>
  <c r="AQ593" i="4"/>
  <c r="AO590" i="4"/>
  <c r="AN590" i="4"/>
  <c r="AN365" i="4"/>
  <c r="AO365" i="4"/>
  <c r="AO443" i="4"/>
  <c r="AN443" i="4"/>
  <c r="AO302" i="4"/>
  <c r="AN302" i="4"/>
  <c r="AO278" i="4"/>
  <c r="AN278" i="4"/>
  <c r="AO429" i="4"/>
  <c r="AN429" i="4"/>
  <c r="AN431" i="4"/>
  <c r="AO431" i="4"/>
  <c r="AO174" i="4"/>
  <c r="AN174" i="4"/>
  <c r="AO534" i="4"/>
  <c r="AN534" i="4"/>
  <c r="AO74" i="4"/>
  <c r="AN74" i="4"/>
  <c r="AO274" i="4"/>
  <c r="AN274" i="4"/>
  <c r="AR463" i="4"/>
  <c r="AQ463" i="4"/>
  <c r="AQ81" i="4"/>
  <c r="AR81" i="4"/>
  <c r="AO542" i="4"/>
  <c r="AN542" i="4"/>
  <c r="AN516" i="4"/>
  <c r="AO516" i="4"/>
  <c r="AO532" i="4"/>
  <c r="AN532" i="4"/>
  <c r="AO526" i="4"/>
  <c r="AN526" i="4"/>
  <c r="AO148" i="4"/>
  <c r="AN148" i="4"/>
  <c r="AN282" i="4"/>
  <c r="AO282" i="4"/>
  <c r="AR135" i="4"/>
  <c r="AQ135" i="4"/>
  <c r="H13" i="13"/>
  <c r="C17" i="13"/>
  <c r="D12" i="13"/>
  <c r="D13" i="13"/>
  <c r="G12" i="13"/>
  <c r="H12" i="13"/>
  <c r="I13" i="13"/>
  <c r="I12" i="13"/>
  <c r="G13" i="13"/>
  <c r="I5" i="13"/>
  <c r="I14" i="13"/>
  <c r="I10" i="13"/>
  <c r="I11" i="13"/>
  <c r="I7" i="13"/>
  <c r="I6" i="13"/>
  <c r="I8" i="13"/>
  <c r="G15" i="13"/>
  <c r="G8" i="13"/>
  <c r="G7" i="13"/>
  <c r="G11" i="13"/>
  <c r="G14" i="13"/>
  <c r="G5" i="13"/>
  <c r="G10" i="13"/>
  <c r="G6" i="13"/>
  <c r="H8" i="13"/>
  <c r="H5" i="13"/>
  <c r="H10" i="13"/>
  <c r="H6" i="13"/>
  <c r="H7" i="13"/>
  <c r="H15" i="13"/>
  <c r="H11" i="13"/>
  <c r="H14" i="13"/>
  <c r="D5" i="13"/>
  <c r="D14" i="13"/>
  <c r="D6" i="13"/>
  <c r="D15" i="13"/>
  <c r="D7" i="13"/>
  <c r="D10" i="13"/>
  <c r="D8" i="13"/>
  <c r="D11" i="13"/>
  <c r="J39" i="4"/>
  <c r="S39" i="4" s="1"/>
  <c r="J40" i="4"/>
  <c r="S40" i="4" s="1"/>
  <c r="J41" i="4"/>
  <c r="J42" i="4"/>
  <c r="S42" i="4" s="1"/>
  <c r="J43" i="4"/>
  <c r="S43" i="4" s="1"/>
  <c r="J44" i="4"/>
  <c r="S44" i="4" s="1"/>
  <c r="J45" i="4"/>
  <c r="S45" i="4" s="1"/>
  <c r="J46" i="4"/>
  <c r="S46" i="4" s="1"/>
  <c r="J47" i="4"/>
  <c r="S47" i="4" s="1"/>
  <c r="J48" i="4"/>
  <c r="S48" i="4" s="1"/>
  <c r="J49" i="4"/>
  <c r="S49" i="4" s="1"/>
  <c r="J50" i="4"/>
  <c r="S50" i="4" s="1"/>
  <c r="J51" i="4"/>
  <c r="S51" i="4" s="1"/>
  <c r="AQ185" i="4" l="1"/>
  <c r="AR473" i="4"/>
  <c r="AQ473" i="4"/>
  <c r="AQ341" i="4"/>
  <c r="AR341" i="4"/>
  <c r="AQ121" i="4"/>
  <c r="AR121" i="4"/>
  <c r="AR78" i="4"/>
  <c r="AQ592" i="4"/>
  <c r="AR245" i="4"/>
  <c r="AQ520" i="4"/>
  <c r="AR524" i="4"/>
  <c r="AQ263" i="4"/>
  <c r="AQ495" i="4"/>
  <c r="AQ406" i="4"/>
  <c r="AR486" i="4"/>
  <c r="AO163" i="4"/>
  <c r="AQ92" i="4"/>
  <c r="AQ235" i="4"/>
  <c r="AR529" i="4"/>
  <c r="AR571" i="4"/>
  <c r="AQ392" i="4"/>
  <c r="AQ415" i="4"/>
  <c r="AQ251" i="4"/>
  <c r="AQ67" i="4"/>
  <c r="AQ494" i="4"/>
  <c r="AR557" i="4"/>
  <c r="AQ168" i="4"/>
  <c r="AQ178" i="4"/>
  <c r="AQ163" i="4"/>
  <c r="AQ213" i="4"/>
  <c r="AP272" i="4"/>
  <c r="AN272" i="4"/>
  <c r="AO272" i="4"/>
  <c r="AP370" i="4"/>
  <c r="AN370" i="4"/>
  <c r="AO370" i="4"/>
  <c r="AP69" i="4"/>
  <c r="AO69" i="4"/>
  <c r="AN69" i="4"/>
  <c r="AP538" i="4"/>
  <c r="AO538" i="4"/>
  <c r="AN538" i="4"/>
  <c r="AP545" i="4"/>
  <c r="AO545" i="4"/>
  <c r="AN545" i="4"/>
  <c r="AP419" i="4"/>
  <c r="AO419" i="4"/>
  <c r="AN419" i="4"/>
  <c r="AP223" i="4"/>
  <c r="AO223" i="4"/>
  <c r="AN223" i="4"/>
  <c r="AP442" i="4"/>
  <c r="AO442" i="4"/>
  <c r="AN442" i="4"/>
  <c r="AP372" i="4"/>
  <c r="AO372" i="4"/>
  <c r="AN372" i="4"/>
  <c r="AP378" i="4"/>
  <c r="AN378" i="4"/>
  <c r="AO378" i="4"/>
  <c r="AP569" i="4"/>
  <c r="AO569" i="4"/>
  <c r="AN569" i="4"/>
  <c r="S9" i="4"/>
  <c r="D11" i="20" s="1"/>
  <c r="AG47" i="4"/>
  <c r="Y47" i="4"/>
  <c r="AA47" i="4" s="1"/>
  <c r="AR471" i="4"/>
  <c r="AQ471" i="4"/>
  <c r="AP340" i="4"/>
  <c r="AO340" i="4"/>
  <c r="AN340" i="4"/>
  <c r="AP452" i="4"/>
  <c r="AO452" i="4"/>
  <c r="AN452" i="4"/>
  <c r="AP388" i="4"/>
  <c r="AN388" i="4"/>
  <c r="AO388" i="4"/>
  <c r="AP201" i="4"/>
  <c r="AO201" i="4"/>
  <c r="AN201" i="4"/>
  <c r="AP490" i="4"/>
  <c r="AO490" i="4"/>
  <c r="AN490" i="4"/>
  <c r="AP440" i="4"/>
  <c r="AO440" i="4"/>
  <c r="AN440" i="4"/>
  <c r="AP552" i="4"/>
  <c r="AN552" i="4"/>
  <c r="AO552" i="4"/>
  <c r="AP407" i="4"/>
  <c r="AO407" i="4"/>
  <c r="AN407" i="4"/>
  <c r="AP482" i="4"/>
  <c r="AN482" i="4"/>
  <c r="AO482" i="4"/>
  <c r="AP345" i="4"/>
  <c r="AO345" i="4"/>
  <c r="AN345" i="4"/>
  <c r="AP548" i="4"/>
  <c r="AO548" i="4"/>
  <c r="AN548" i="4"/>
  <c r="AP466" i="4"/>
  <c r="AO466" i="4"/>
  <c r="AN466" i="4"/>
  <c r="AR59" i="4"/>
  <c r="AQ59" i="4"/>
  <c r="AP506" i="4"/>
  <c r="AO506" i="4"/>
  <c r="AN506" i="4"/>
  <c r="AP597" i="4"/>
  <c r="AN597" i="4"/>
  <c r="AO597" i="4"/>
  <c r="AP462" i="4"/>
  <c r="AO462" i="4"/>
  <c r="AN462" i="4"/>
  <c r="AG49" i="4"/>
  <c r="Y49" i="4"/>
  <c r="AA49" i="4" s="1"/>
  <c r="AG48" i="4"/>
  <c r="Y48" i="4"/>
  <c r="AA48" i="4" s="1"/>
  <c r="AP267" i="4"/>
  <c r="AN267" i="4"/>
  <c r="AO267" i="4"/>
  <c r="AP52" i="4"/>
  <c r="AN52" i="4"/>
  <c r="AO52" i="4"/>
  <c r="AP237" i="4"/>
  <c r="AO237" i="4"/>
  <c r="AN237" i="4"/>
  <c r="AP309" i="4"/>
  <c r="AN309" i="4"/>
  <c r="AO309" i="4"/>
  <c r="AP384" i="4"/>
  <c r="AO384" i="4"/>
  <c r="AN384" i="4"/>
  <c r="AP284" i="4"/>
  <c r="AO284" i="4"/>
  <c r="AN284" i="4"/>
  <c r="AP128" i="4"/>
  <c r="AN128" i="4"/>
  <c r="AO128" i="4"/>
  <c r="AP126" i="4"/>
  <c r="AO126" i="4"/>
  <c r="AN126" i="4"/>
  <c r="AP578" i="4"/>
  <c r="AO578" i="4"/>
  <c r="AN578" i="4"/>
  <c r="AP296" i="4"/>
  <c r="AO296" i="4"/>
  <c r="AN296" i="4"/>
  <c r="AP464" i="4"/>
  <c r="AO464" i="4"/>
  <c r="AN464" i="4"/>
  <c r="AP217" i="4"/>
  <c r="AN217" i="4"/>
  <c r="AO217" i="4"/>
  <c r="AP253" i="4"/>
  <c r="AO253" i="4"/>
  <c r="AN253" i="4"/>
  <c r="AP84" i="4"/>
  <c r="AO84" i="4"/>
  <c r="AN84" i="4"/>
  <c r="AP268" i="4"/>
  <c r="AN268" i="4"/>
  <c r="AO268" i="4"/>
  <c r="AP428" i="4"/>
  <c r="AO428" i="4"/>
  <c r="AN428" i="4"/>
  <c r="AP350" i="4"/>
  <c r="AN350" i="4"/>
  <c r="AO350" i="4"/>
  <c r="AP360" i="4"/>
  <c r="AO360" i="4"/>
  <c r="AN360" i="4"/>
  <c r="AP291" i="4"/>
  <c r="AO291" i="4"/>
  <c r="AN291" i="4"/>
  <c r="AP127" i="4"/>
  <c r="AO127" i="4"/>
  <c r="AN127" i="4"/>
  <c r="AP579" i="4"/>
  <c r="AO579" i="4"/>
  <c r="AN579" i="4"/>
  <c r="AP449" i="4"/>
  <c r="AO449" i="4"/>
  <c r="AN449" i="4"/>
  <c r="AP307" i="4"/>
  <c r="AO307" i="4"/>
  <c r="AN307" i="4"/>
  <c r="AP499" i="4"/>
  <c r="AN499" i="4"/>
  <c r="AO499" i="4"/>
  <c r="AP438" i="4"/>
  <c r="AO438" i="4"/>
  <c r="AN438" i="4"/>
  <c r="AP550" i="4"/>
  <c r="AO550" i="4"/>
  <c r="AN550" i="4"/>
  <c r="AP461" i="4"/>
  <c r="AO461" i="4"/>
  <c r="AN461" i="4"/>
  <c r="AP445" i="4"/>
  <c r="AO445" i="4"/>
  <c r="AN445" i="4"/>
  <c r="AG46" i="4"/>
  <c r="Y46" i="4"/>
  <c r="AA46" i="4" s="1"/>
  <c r="AP95" i="4"/>
  <c r="AN95" i="4"/>
  <c r="AO95" i="4"/>
  <c r="AP420" i="4"/>
  <c r="AN420" i="4"/>
  <c r="AO420" i="4"/>
  <c r="AP366" i="4"/>
  <c r="AO366" i="4"/>
  <c r="AN366" i="4"/>
  <c r="AP397" i="4"/>
  <c r="AO397" i="4"/>
  <c r="AN397" i="4"/>
  <c r="AP97" i="4"/>
  <c r="AO97" i="4"/>
  <c r="AN97" i="4"/>
  <c r="AP322" i="4"/>
  <c r="AN322" i="4"/>
  <c r="AO322" i="4"/>
  <c r="AP101" i="4"/>
  <c r="AO101" i="4"/>
  <c r="AN101" i="4"/>
  <c r="AP411" i="4"/>
  <c r="AN411" i="4"/>
  <c r="AO411" i="4"/>
  <c r="AP147" i="4"/>
  <c r="AO147" i="4"/>
  <c r="AN147" i="4"/>
  <c r="AP136" i="4"/>
  <c r="AN136" i="4"/>
  <c r="AO136" i="4"/>
  <c r="AP316" i="4"/>
  <c r="AO316" i="4"/>
  <c r="AN316" i="4"/>
  <c r="AP498" i="4"/>
  <c r="AO498" i="4"/>
  <c r="AN498" i="4"/>
  <c r="AP566" i="4"/>
  <c r="AO566" i="4"/>
  <c r="AN566" i="4"/>
  <c r="AP207" i="4"/>
  <c r="AO207" i="4"/>
  <c r="AN207" i="4"/>
  <c r="AP93" i="4"/>
  <c r="AN93" i="4"/>
  <c r="AO93" i="4"/>
  <c r="AP143" i="4"/>
  <c r="AN143" i="4"/>
  <c r="AO143" i="4"/>
  <c r="AP276" i="4"/>
  <c r="AO276" i="4"/>
  <c r="AN276" i="4"/>
  <c r="AP192" i="4"/>
  <c r="AO192" i="4"/>
  <c r="AN192" i="4"/>
  <c r="AP120" i="4"/>
  <c r="AO120" i="4"/>
  <c r="AN120" i="4"/>
  <c r="AP364" i="4"/>
  <c r="AN364" i="4"/>
  <c r="AO364" i="4"/>
  <c r="AP478" i="4"/>
  <c r="AO478" i="4"/>
  <c r="AN478" i="4"/>
  <c r="AP156" i="4"/>
  <c r="AO156" i="4"/>
  <c r="AN156" i="4"/>
  <c r="AP521" i="4"/>
  <c r="AO521" i="4"/>
  <c r="AN521" i="4"/>
  <c r="AP525" i="4"/>
  <c r="AO525" i="4"/>
  <c r="AN525" i="4"/>
  <c r="AP382" i="4"/>
  <c r="AN382" i="4"/>
  <c r="AO382" i="4"/>
  <c r="AP90" i="4"/>
  <c r="AN90" i="4"/>
  <c r="AO90" i="4"/>
  <c r="AP315" i="4"/>
  <c r="AO315" i="4"/>
  <c r="AN315" i="4"/>
  <c r="AP216" i="4"/>
  <c r="AO216" i="4"/>
  <c r="AN216" i="4"/>
  <c r="AP205" i="4"/>
  <c r="AN205" i="4"/>
  <c r="AO205" i="4"/>
  <c r="AP308" i="4"/>
  <c r="AO308" i="4"/>
  <c r="AN308" i="4"/>
  <c r="AP61" i="4"/>
  <c r="AO61" i="4"/>
  <c r="AN61" i="4"/>
  <c r="AP277" i="4"/>
  <c r="AO277" i="4"/>
  <c r="AN277" i="4"/>
  <c r="AP518" i="4"/>
  <c r="AN518" i="4"/>
  <c r="AO518" i="4"/>
  <c r="AP87" i="4"/>
  <c r="AO87" i="4"/>
  <c r="AN87" i="4"/>
  <c r="AP509" i="4"/>
  <c r="AO509" i="4"/>
  <c r="AN509" i="4"/>
  <c r="AP133" i="4"/>
  <c r="AO133" i="4"/>
  <c r="AN133" i="4"/>
  <c r="AP434" i="4"/>
  <c r="AN434" i="4"/>
  <c r="AO434" i="4"/>
  <c r="AP367" i="4"/>
  <c r="AO367" i="4"/>
  <c r="AN367" i="4"/>
  <c r="AP523" i="4"/>
  <c r="AO523" i="4"/>
  <c r="AN523" i="4"/>
  <c r="AP273" i="4"/>
  <c r="AN273" i="4"/>
  <c r="AO273" i="4"/>
  <c r="AP377" i="4"/>
  <c r="AO377" i="4"/>
  <c r="AN377" i="4"/>
  <c r="AP555" i="4"/>
  <c r="AO555" i="4"/>
  <c r="AN555" i="4"/>
  <c r="AP517" i="4"/>
  <c r="AO517" i="4"/>
  <c r="AN517" i="4"/>
  <c r="AP122" i="4"/>
  <c r="AO122" i="4"/>
  <c r="AN122" i="4"/>
  <c r="AP347" i="4"/>
  <c r="AN347" i="4"/>
  <c r="AO347" i="4"/>
  <c r="AP55" i="4"/>
  <c r="AO55" i="4"/>
  <c r="AN55" i="4"/>
  <c r="AP409" i="4"/>
  <c r="AO409" i="4"/>
  <c r="AN409" i="4"/>
  <c r="AP86" i="4"/>
  <c r="AN86" i="4"/>
  <c r="AO86" i="4"/>
  <c r="AP77" i="4"/>
  <c r="AO77" i="4"/>
  <c r="AN77" i="4"/>
  <c r="AP514" i="4"/>
  <c r="AN514" i="4"/>
  <c r="AO514" i="4"/>
  <c r="AP476" i="4"/>
  <c r="AO476" i="4"/>
  <c r="AN476" i="4"/>
  <c r="AP157" i="4"/>
  <c r="AO157" i="4"/>
  <c r="AN157" i="4"/>
  <c r="AP271" i="4"/>
  <c r="AO271" i="4"/>
  <c r="AN271" i="4"/>
  <c r="AL37" i="4"/>
  <c r="AP298" i="4"/>
  <c r="AO298" i="4"/>
  <c r="AN298" i="4"/>
  <c r="AP231" i="4"/>
  <c r="AN231" i="4"/>
  <c r="AO231" i="4"/>
  <c r="AP209" i="4"/>
  <c r="AN209" i="4"/>
  <c r="AO209" i="4"/>
  <c r="AP583" i="4"/>
  <c r="AO583" i="4"/>
  <c r="AN583" i="4"/>
  <c r="AP224" i="4"/>
  <c r="AO224" i="4"/>
  <c r="AN224" i="4"/>
  <c r="AP441" i="4"/>
  <c r="AN441" i="4"/>
  <c r="AO441" i="4"/>
  <c r="AP91" i="4"/>
  <c r="AO91" i="4"/>
  <c r="AN91" i="4"/>
  <c r="AP481" i="4"/>
  <c r="AO481" i="4"/>
  <c r="AN481" i="4"/>
  <c r="AP329" i="4"/>
  <c r="AN329" i="4"/>
  <c r="AO329" i="4"/>
  <c r="AP416" i="4"/>
  <c r="AO416" i="4"/>
  <c r="AN416" i="4"/>
  <c r="AG44" i="4"/>
  <c r="Y44" i="4"/>
  <c r="AA44" i="4" s="1"/>
  <c r="AP82" i="4"/>
  <c r="AN82" i="4"/>
  <c r="AO82" i="4"/>
  <c r="AP541" i="4"/>
  <c r="AO541" i="4"/>
  <c r="AN541" i="4"/>
  <c r="AP402" i="4"/>
  <c r="AO402" i="4"/>
  <c r="AN402" i="4"/>
  <c r="AP134" i="4"/>
  <c r="AO134" i="4"/>
  <c r="AN134" i="4"/>
  <c r="AP259" i="4"/>
  <c r="AN259" i="4"/>
  <c r="AO259" i="4"/>
  <c r="AP456" i="4"/>
  <c r="AO456" i="4"/>
  <c r="AN456" i="4"/>
  <c r="AP386" i="4"/>
  <c r="AO386" i="4"/>
  <c r="AN386" i="4"/>
  <c r="AP359" i="4"/>
  <c r="AO359" i="4"/>
  <c r="AN359" i="4"/>
  <c r="AP371" i="4"/>
  <c r="AO371" i="4"/>
  <c r="AN371" i="4"/>
  <c r="AP149" i="4"/>
  <c r="AO149" i="4"/>
  <c r="AN149" i="4"/>
  <c r="AP336" i="4"/>
  <c r="AO336" i="4"/>
  <c r="AN336" i="4"/>
  <c r="AP100" i="4"/>
  <c r="AN100" i="4"/>
  <c r="AO100" i="4"/>
  <c r="AP117" i="4"/>
  <c r="AN117" i="4"/>
  <c r="AO117" i="4"/>
  <c r="AP63" i="4"/>
  <c r="AO63" i="4"/>
  <c r="AN63" i="4"/>
  <c r="AP124" i="4"/>
  <c r="AO124" i="4"/>
  <c r="AN124" i="4"/>
  <c r="AP433" i="4"/>
  <c r="AO433" i="4"/>
  <c r="AN433" i="4"/>
  <c r="AP554" i="4"/>
  <c r="AO554" i="4"/>
  <c r="AN554" i="4"/>
  <c r="AP215" i="4"/>
  <c r="AO215" i="4"/>
  <c r="AN215" i="4"/>
  <c r="AP203" i="4"/>
  <c r="AO203" i="4"/>
  <c r="AN203" i="4"/>
  <c r="AP221" i="4"/>
  <c r="AN221" i="4"/>
  <c r="AO221" i="4"/>
  <c r="AP219" i="4"/>
  <c r="AO219" i="4"/>
  <c r="AN219" i="4"/>
  <c r="AP451" i="4"/>
  <c r="AO451" i="4"/>
  <c r="AN451" i="4"/>
  <c r="AP565" i="4"/>
  <c r="AN565" i="4"/>
  <c r="AO565" i="4"/>
  <c r="AP459" i="4"/>
  <c r="AO459" i="4"/>
  <c r="AN459" i="4"/>
  <c r="AP444" i="4"/>
  <c r="AO444" i="4"/>
  <c r="AN444" i="4"/>
  <c r="AP280" i="4"/>
  <c r="AO280" i="4"/>
  <c r="AN280" i="4"/>
  <c r="AP261" i="4"/>
  <c r="AO261" i="4"/>
  <c r="AN261" i="4"/>
  <c r="AP504" i="4"/>
  <c r="AO504" i="4"/>
  <c r="AN504" i="4"/>
  <c r="AP581" i="4"/>
  <c r="AO581" i="4"/>
  <c r="AN581" i="4"/>
  <c r="AP511" i="4"/>
  <c r="AO511" i="4"/>
  <c r="AN511" i="4"/>
  <c r="AP507" i="4"/>
  <c r="AO507" i="4"/>
  <c r="AN507" i="4"/>
  <c r="AP430" i="4"/>
  <c r="AO430" i="4"/>
  <c r="AN430" i="4"/>
  <c r="AP470" i="4"/>
  <c r="AO470" i="4"/>
  <c r="AN470" i="4"/>
  <c r="AP232" i="4"/>
  <c r="AN232" i="4"/>
  <c r="AO232" i="4"/>
  <c r="AP335" i="4"/>
  <c r="AO335" i="4"/>
  <c r="AN335" i="4"/>
  <c r="AP559" i="4"/>
  <c r="AN559" i="4"/>
  <c r="AO559" i="4"/>
  <c r="AP468" i="4"/>
  <c r="AO468" i="4"/>
  <c r="AN468" i="4"/>
  <c r="AP560" i="4"/>
  <c r="AO560" i="4"/>
  <c r="AN560" i="4"/>
  <c r="AP562" i="4"/>
  <c r="AO562" i="4"/>
  <c r="AN562" i="4"/>
  <c r="AP543" i="4"/>
  <c r="AO543" i="4"/>
  <c r="AN543" i="4"/>
  <c r="AP191" i="4"/>
  <c r="AN191" i="4"/>
  <c r="AO191" i="4"/>
  <c r="AP427" i="4"/>
  <c r="AO427" i="4"/>
  <c r="AN427" i="4"/>
  <c r="AP376" i="4"/>
  <c r="AN376" i="4"/>
  <c r="AO376" i="4"/>
  <c r="AP119" i="4"/>
  <c r="AN119" i="4"/>
  <c r="AO119" i="4"/>
  <c r="S5" i="4"/>
  <c r="AG43" i="4"/>
  <c r="Y43" i="4"/>
  <c r="AA43" i="4" s="1"/>
  <c r="AP208" i="4"/>
  <c r="AO208" i="4"/>
  <c r="AN208" i="4"/>
  <c r="AP321" i="4"/>
  <c r="AN321" i="4"/>
  <c r="AO321" i="4"/>
  <c r="AP352" i="4"/>
  <c r="AO352" i="4"/>
  <c r="AN352" i="4"/>
  <c r="AP233" i="4"/>
  <c r="AO233" i="4"/>
  <c r="AN233" i="4"/>
  <c r="AP357" i="4"/>
  <c r="AO357" i="4"/>
  <c r="AN357" i="4"/>
  <c r="AP349" i="4"/>
  <c r="AO349" i="4"/>
  <c r="AN349" i="4"/>
  <c r="AP255" i="4"/>
  <c r="AN255" i="4"/>
  <c r="AO255" i="4"/>
  <c r="AP195" i="4"/>
  <c r="AN195" i="4"/>
  <c r="AO195" i="4"/>
  <c r="AP567" i="4"/>
  <c r="AO567" i="4"/>
  <c r="AN567" i="4"/>
  <c r="AP472" i="4"/>
  <c r="AO472" i="4"/>
  <c r="AN472" i="4"/>
  <c r="AP448" i="4"/>
  <c r="AN448" i="4"/>
  <c r="AO448" i="4"/>
  <c r="AP408" i="4"/>
  <c r="AO408" i="4"/>
  <c r="AN408" i="4"/>
  <c r="AP425" i="4"/>
  <c r="AN425" i="4"/>
  <c r="AO425" i="4"/>
  <c r="AP161" i="4"/>
  <c r="AN161" i="4"/>
  <c r="AO161" i="4"/>
  <c r="AP250" i="4"/>
  <c r="AO250" i="4"/>
  <c r="AN250" i="4"/>
  <c r="AP154" i="4"/>
  <c r="AO154" i="4"/>
  <c r="AN154" i="4"/>
  <c r="AP72" i="4"/>
  <c r="AN72" i="4"/>
  <c r="AO72" i="4"/>
  <c r="AP551" i="4"/>
  <c r="AO551" i="4"/>
  <c r="AN551" i="4"/>
  <c r="AP301" i="4"/>
  <c r="AN301" i="4"/>
  <c r="AO301" i="4"/>
  <c r="AP417" i="4"/>
  <c r="AO417" i="4"/>
  <c r="AN417" i="4"/>
  <c r="AP139" i="4"/>
  <c r="AO139" i="4"/>
  <c r="AN139" i="4"/>
  <c r="AP289" i="4"/>
  <c r="AO289" i="4"/>
  <c r="AN289" i="4"/>
  <c r="AP484" i="4"/>
  <c r="AO484" i="4"/>
  <c r="AN484" i="4"/>
  <c r="AP227" i="4"/>
  <c r="AO227" i="4"/>
  <c r="AN227" i="4"/>
  <c r="AP351" i="4"/>
  <c r="AO351" i="4"/>
  <c r="AN351" i="4"/>
  <c r="AP412" i="4"/>
  <c r="AO412" i="4"/>
  <c r="AN412" i="4"/>
  <c r="AP105" i="4"/>
  <c r="AO105" i="4"/>
  <c r="AN105" i="4"/>
  <c r="AP426" i="4"/>
  <c r="AN426" i="4"/>
  <c r="AO426" i="4"/>
  <c r="AP279" i="4"/>
  <c r="AO279" i="4"/>
  <c r="AN279" i="4"/>
  <c r="AP380" i="4"/>
  <c r="AO380" i="4"/>
  <c r="AN380" i="4"/>
  <c r="AP505" i="4"/>
  <c r="AO505" i="4"/>
  <c r="AN505" i="4"/>
  <c r="AP500" i="4"/>
  <c r="AO500" i="4"/>
  <c r="AN500" i="4"/>
  <c r="AP247" i="4"/>
  <c r="AO247" i="4"/>
  <c r="AN247" i="4"/>
  <c r="AP266" i="4"/>
  <c r="AN266" i="4"/>
  <c r="AO266" i="4"/>
  <c r="AP332" i="4"/>
  <c r="AN332" i="4"/>
  <c r="AO332" i="4"/>
  <c r="AP269" i="4"/>
  <c r="AN269" i="4"/>
  <c r="AO269" i="4"/>
  <c r="AG45" i="4"/>
  <c r="Y45" i="4"/>
  <c r="AA45" i="4" s="1"/>
  <c r="AP306" i="4"/>
  <c r="AO306" i="4"/>
  <c r="AN306" i="4"/>
  <c r="AP98" i="4"/>
  <c r="AO98" i="4"/>
  <c r="AN98" i="4"/>
  <c r="AP241" i="4"/>
  <c r="AO241" i="4"/>
  <c r="AN241" i="4"/>
  <c r="AP556" i="4"/>
  <c r="AO556" i="4"/>
  <c r="AN556" i="4"/>
  <c r="AP553" i="4"/>
  <c r="AO553" i="4"/>
  <c r="AN553" i="4"/>
  <c r="AP582" i="4"/>
  <c r="AO582" i="4"/>
  <c r="AN582" i="4"/>
  <c r="AP112" i="4"/>
  <c r="AO112" i="4"/>
  <c r="AN112" i="4"/>
  <c r="AP549" i="4"/>
  <c r="AO549" i="4"/>
  <c r="AN549" i="4"/>
  <c r="AP89" i="4"/>
  <c r="AO89" i="4"/>
  <c r="AN89" i="4"/>
  <c r="AP137" i="4"/>
  <c r="AO137" i="4"/>
  <c r="AN137" i="4"/>
  <c r="AP546" i="4"/>
  <c r="AN546" i="4"/>
  <c r="AO546" i="4"/>
  <c r="AP129" i="4"/>
  <c r="AN129" i="4"/>
  <c r="AO129" i="4"/>
  <c r="AP537" i="4"/>
  <c r="AO537" i="4"/>
  <c r="AN537" i="4"/>
  <c r="AP287" i="4"/>
  <c r="AO287" i="4"/>
  <c r="AN287" i="4"/>
  <c r="AP348" i="4"/>
  <c r="AO348" i="4"/>
  <c r="AN348" i="4"/>
  <c r="AP99" i="4"/>
  <c r="AO99" i="4"/>
  <c r="AN99" i="4"/>
  <c r="AP73" i="4"/>
  <c r="AO73" i="4"/>
  <c r="AN73" i="4"/>
  <c r="AP400" i="4"/>
  <c r="AN400" i="4"/>
  <c r="AO400" i="4"/>
  <c r="AP399" i="4"/>
  <c r="AN399" i="4"/>
  <c r="AO399" i="4"/>
  <c r="AP138" i="4"/>
  <c r="AO138" i="4"/>
  <c r="AN138" i="4"/>
  <c r="AP531" i="4"/>
  <c r="AO531" i="4"/>
  <c r="AN531" i="4"/>
  <c r="AP114" i="4"/>
  <c r="AO114" i="4"/>
  <c r="AN114" i="4"/>
  <c r="AP145" i="4"/>
  <c r="AN145" i="4"/>
  <c r="AO145" i="4"/>
  <c r="AP547" i="4"/>
  <c r="AO547" i="4"/>
  <c r="AN547" i="4"/>
  <c r="AP539" i="4"/>
  <c r="AO539" i="4"/>
  <c r="AN539" i="4"/>
  <c r="AP594" i="4"/>
  <c r="AN594" i="4"/>
  <c r="AO594" i="4"/>
  <c r="AP108" i="4"/>
  <c r="AO108" i="4"/>
  <c r="AN108" i="4"/>
  <c r="AP576" i="4"/>
  <c r="AN576" i="4"/>
  <c r="AO576" i="4"/>
  <c r="AP588" i="4"/>
  <c r="AO588" i="4"/>
  <c r="AN588" i="4"/>
  <c r="AP56" i="4"/>
  <c r="AO56" i="4"/>
  <c r="AN56" i="4"/>
  <c r="AP580" i="4"/>
  <c r="AO580" i="4"/>
  <c r="AN580" i="4"/>
  <c r="AP404" i="4"/>
  <c r="AN404" i="4"/>
  <c r="AO404" i="4"/>
  <c r="AP57" i="4"/>
  <c r="AO57" i="4"/>
  <c r="AN57" i="4"/>
  <c r="AP381" i="4"/>
  <c r="AO381" i="4"/>
  <c r="AN381" i="4"/>
  <c r="AP75" i="4"/>
  <c r="AN75" i="4"/>
  <c r="AO75" i="4"/>
  <c r="AP374" i="4"/>
  <c r="AN374" i="4"/>
  <c r="AO374" i="4"/>
  <c r="AP71" i="4"/>
  <c r="AO71" i="4"/>
  <c r="AN71" i="4"/>
  <c r="AP102" i="4"/>
  <c r="AN102" i="4"/>
  <c r="AO102" i="4"/>
  <c r="AP243" i="4"/>
  <c r="AO243" i="4"/>
  <c r="AN243" i="4"/>
  <c r="AP319" i="4"/>
  <c r="AN319" i="4"/>
  <c r="AO319" i="4"/>
  <c r="AP596" i="4"/>
  <c r="AO596" i="4"/>
  <c r="AN596" i="4"/>
  <c r="AP395" i="4"/>
  <c r="AO395" i="4"/>
  <c r="AN395" i="4"/>
  <c r="AP330" i="4"/>
  <c r="AO330" i="4"/>
  <c r="AN330" i="4"/>
  <c r="AP385" i="4"/>
  <c r="AN385" i="4"/>
  <c r="AO385" i="4"/>
  <c r="AP446" i="4"/>
  <c r="AO446" i="4"/>
  <c r="AN446" i="4"/>
  <c r="AP225" i="4"/>
  <c r="AO225" i="4"/>
  <c r="AN225" i="4"/>
  <c r="AP297" i="4"/>
  <c r="AO297" i="4"/>
  <c r="AN297" i="4"/>
  <c r="AP150" i="4"/>
  <c r="AO150" i="4"/>
  <c r="AN150" i="4"/>
  <c r="AP497" i="4"/>
  <c r="AO497" i="4"/>
  <c r="AN497" i="4"/>
  <c r="AP264" i="4"/>
  <c r="AO264" i="4"/>
  <c r="AN264" i="4"/>
  <c r="AP196" i="4"/>
  <c r="AO196" i="4"/>
  <c r="AN196" i="4"/>
  <c r="AP115" i="4"/>
  <c r="AO115" i="4"/>
  <c r="AN115" i="4"/>
  <c r="AP299" i="4"/>
  <c r="AN299" i="4"/>
  <c r="AO299" i="4"/>
  <c r="AP54" i="4"/>
  <c r="AO54" i="4"/>
  <c r="AN54" i="4"/>
  <c r="AP480" i="4"/>
  <c r="AN480" i="4"/>
  <c r="AO480" i="4"/>
  <c r="AP260" i="4"/>
  <c r="AN260" i="4"/>
  <c r="AO260" i="4"/>
  <c r="AP249" i="4"/>
  <c r="AN249" i="4"/>
  <c r="AO249" i="4"/>
  <c r="AP344" i="4"/>
  <c r="AN344" i="4"/>
  <c r="AO344" i="4"/>
  <c r="AP396" i="4"/>
  <c r="AN396" i="4"/>
  <c r="AO396" i="4"/>
  <c r="AP199" i="4"/>
  <c r="AO199" i="4"/>
  <c r="AN199" i="4"/>
  <c r="AP125" i="4"/>
  <c r="AO125" i="4"/>
  <c r="AN125" i="4"/>
  <c r="AP561" i="4"/>
  <c r="AO561" i="4"/>
  <c r="AN561" i="4"/>
  <c r="AG42" i="4"/>
  <c r="Y42" i="4"/>
  <c r="AA42" i="4" s="1"/>
  <c r="S7" i="4"/>
  <c r="D9" i="20" s="1"/>
  <c r="AG40" i="4"/>
  <c r="Y40" i="4"/>
  <c r="AP162" i="4"/>
  <c r="AO162" i="4"/>
  <c r="AN162" i="4"/>
  <c r="AP502" i="4"/>
  <c r="AO502" i="4"/>
  <c r="AN502" i="4"/>
  <c r="AP155" i="4"/>
  <c r="AO155" i="4"/>
  <c r="AN155" i="4"/>
  <c r="AP535" i="4"/>
  <c r="AN535" i="4"/>
  <c r="AO535" i="4"/>
  <c r="AP229" i="4"/>
  <c r="AN229" i="4"/>
  <c r="AO229" i="4"/>
  <c r="AP123" i="4"/>
  <c r="AN123" i="4"/>
  <c r="AO123" i="4"/>
  <c r="AP197" i="4"/>
  <c r="AO197" i="4"/>
  <c r="AN197" i="4"/>
  <c r="AP228" i="4"/>
  <c r="AN228" i="4"/>
  <c r="AO228" i="4"/>
  <c r="AP383" i="4"/>
  <c r="AO383" i="4"/>
  <c r="AN383" i="4"/>
  <c r="AP151" i="4"/>
  <c r="AN151" i="4"/>
  <c r="AO151" i="4"/>
  <c r="AP110" i="4"/>
  <c r="AO110" i="4"/>
  <c r="AN110" i="4"/>
  <c r="AP346" i="4"/>
  <c r="AN346" i="4"/>
  <c r="AO346" i="4"/>
  <c r="AP503" i="4"/>
  <c r="AN503" i="4"/>
  <c r="AO503" i="4"/>
  <c r="AP457" i="4"/>
  <c r="AO457" i="4"/>
  <c r="AN457" i="4"/>
  <c r="AP544" i="4"/>
  <c r="AN544" i="4"/>
  <c r="AO544" i="4"/>
  <c r="AP323" i="4"/>
  <c r="AO323" i="4"/>
  <c r="AN323" i="4"/>
  <c r="AP465" i="4"/>
  <c r="AN465" i="4"/>
  <c r="AO465" i="4"/>
  <c r="AP142" i="4"/>
  <c r="AO142" i="4"/>
  <c r="AN142" i="4"/>
  <c r="AP595" i="4"/>
  <c r="AO595" i="4"/>
  <c r="AN595" i="4"/>
  <c r="AP362" i="4"/>
  <c r="AO362" i="4"/>
  <c r="AN362" i="4"/>
  <c r="AP113" i="4"/>
  <c r="AO113" i="4"/>
  <c r="AN113" i="4"/>
  <c r="AP311" i="4"/>
  <c r="AN311" i="4"/>
  <c r="AO311" i="4"/>
  <c r="AP76" i="4"/>
  <c r="AN76" i="4"/>
  <c r="AO76" i="4"/>
  <c r="AP153" i="4"/>
  <c r="AO153" i="4"/>
  <c r="AN153" i="4"/>
  <c r="AP333" i="4"/>
  <c r="AN333" i="4"/>
  <c r="AO333" i="4"/>
  <c r="AP325" i="4"/>
  <c r="AO325" i="4"/>
  <c r="AN325" i="4"/>
  <c r="AP458" i="4"/>
  <c r="AO458" i="4"/>
  <c r="AN458" i="4"/>
  <c r="AP226" i="4"/>
  <c r="AO226" i="4"/>
  <c r="AN226" i="4"/>
  <c r="AP510" i="4"/>
  <c r="AN510" i="4"/>
  <c r="AO510" i="4"/>
  <c r="AP492" i="4"/>
  <c r="AO492" i="4"/>
  <c r="AN492" i="4"/>
  <c r="AP450" i="4"/>
  <c r="AN450" i="4"/>
  <c r="AO450" i="4"/>
  <c r="AP304" i="4"/>
  <c r="AO304" i="4"/>
  <c r="AN304" i="4"/>
  <c r="AG39" i="4"/>
  <c r="Y39" i="4"/>
  <c r="AP106" i="4"/>
  <c r="AO106" i="4"/>
  <c r="AN106" i="4"/>
  <c r="AP281" i="4"/>
  <c r="AO281" i="4"/>
  <c r="AN281" i="4"/>
  <c r="AP88" i="4"/>
  <c r="AN88" i="4"/>
  <c r="AO88" i="4"/>
  <c r="AP355" i="4"/>
  <c r="AO355" i="4"/>
  <c r="AN355" i="4"/>
  <c r="AP109" i="4"/>
  <c r="AO109" i="4"/>
  <c r="AN109" i="4"/>
  <c r="AP305" i="4"/>
  <c r="AN305" i="4"/>
  <c r="AO305" i="4"/>
  <c r="AP295" i="4"/>
  <c r="AO295" i="4"/>
  <c r="AN295" i="4"/>
  <c r="AP326" i="4"/>
  <c r="AO326" i="4"/>
  <c r="AN326" i="4"/>
  <c r="AP132" i="4"/>
  <c r="AO132" i="4"/>
  <c r="AN132" i="4"/>
  <c r="AP501" i="4"/>
  <c r="AN501" i="4"/>
  <c r="AO501" i="4"/>
  <c r="AP236" i="4"/>
  <c r="AO236" i="4"/>
  <c r="AN236" i="4"/>
  <c r="AP391" i="4"/>
  <c r="AO391" i="4"/>
  <c r="AN391" i="4"/>
  <c r="AP283" i="4"/>
  <c r="AO283" i="4"/>
  <c r="AN283" i="4"/>
  <c r="AP489" i="4"/>
  <c r="AO489" i="4"/>
  <c r="AN489" i="4"/>
  <c r="AP94" i="4"/>
  <c r="AN94" i="4"/>
  <c r="AO94" i="4"/>
  <c r="AP421" i="4"/>
  <c r="AO421" i="4"/>
  <c r="AN421" i="4"/>
  <c r="AP577" i="4"/>
  <c r="AO577" i="4"/>
  <c r="AN577" i="4"/>
  <c r="AP131" i="4"/>
  <c r="AN131" i="4"/>
  <c r="AO131" i="4"/>
  <c r="AP460" i="4"/>
  <c r="AO460" i="4"/>
  <c r="AN460" i="4"/>
  <c r="AP239" i="4"/>
  <c r="AN239" i="4"/>
  <c r="AO239" i="4"/>
  <c r="AP479" i="4"/>
  <c r="AO479" i="4"/>
  <c r="AN479" i="4"/>
  <c r="AP202" i="4"/>
  <c r="AN202" i="4"/>
  <c r="AO202" i="4"/>
  <c r="AP159" i="4"/>
  <c r="AN159" i="4"/>
  <c r="AO159" i="4"/>
  <c r="AP303" i="4"/>
  <c r="AO303" i="4"/>
  <c r="AN303" i="4"/>
  <c r="AP513" i="4"/>
  <c r="AO513" i="4"/>
  <c r="AN513" i="4"/>
  <c r="AP339" i="4"/>
  <c r="AO339" i="4"/>
  <c r="AN339" i="4"/>
  <c r="AP586" i="4"/>
  <c r="AO586" i="4"/>
  <c r="AN586" i="4"/>
  <c r="AP248" i="4"/>
  <c r="AN248" i="4"/>
  <c r="AO248" i="4"/>
  <c r="AP60" i="4"/>
  <c r="AO60" i="4"/>
  <c r="AN60" i="4"/>
  <c r="AP152" i="4"/>
  <c r="AO152" i="4"/>
  <c r="AN152" i="4"/>
  <c r="AP536" i="4"/>
  <c r="AO536" i="4"/>
  <c r="AN536" i="4"/>
  <c r="S41" i="4"/>
  <c r="S8" i="4" s="1"/>
  <c r="D10" i="20" s="1"/>
  <c r="AP373" i="4"/>
  <c r="AO373" i="4"/>
  <c r="AN373" i="4"/>
  <c r="AP477" i="4"/>
  <c r="AO477" i="4"/>
  <c r="AN477" i="4"/>
  <c r="AP312" i="4"/>
  <c r="AN312" i="4"/>
  <c r="AO312" i="4"/>
  <c r="AP118" i="4"/>
  <c r="AO118" i="4"/>
  <c r="AN118" i="4"/>
  <c r="AP375" i="4"/>
  <c r="AO375" i="4"/>
  <c r="AN375" i="4"/>
  <c r="AP320" i="4"/>
  <c r="AN320" i="4"/>
  <c r="AO320" i="4"/>
  <c r="AP589" i="4"/>
  <c r="AN589" i="4"/>
  <c r="AO589" i="4"/>
  <c r="AP424" i="4"/>
  <c r="AO424" i="4"/>
  <c r="AN424" i="4"/>
  <c r="AP258" i="4"/>
  <c r="AO258" i="4"/>
  <c r="AN258" i="4"/>
  <c r="AP334" i="4"/>
  <c r="AN334" i="4"/>
  <c r="AO334" i="4"/>
  <c r="AP140" i="4"/>
  <c r="AN140" i="4"/>
  <c r="AO140" i="4"/>
  <c r="AP437" i="4"/>
  <c r="AN437" i="4"/>
  <c r="AO437" i="4"/>
  <c r="AP103" i="4"/>
  <c r="AO103" i="4"/>
  <c r="AN103" i="4"/>
  <c r="AP193" i="4"/>
  <c r="AN193" i="4"/>
  <c r="AO193" i="4"/>
  <c r="AP573" i="4"/>
  <c r="AO573" i="4"/>
  <c r="AN573" i="4"/>
  <c r="AP519" i="4"/>
  <c r="AO519" i="4"/>
  <c r="AN519" i="4"/>
  <c r="AP130" i="4"/>
  <c r="AO130" i="4"/>
  <c r="AN130" i="4"/>
  <c r="AP285" i="4"/>
  <c r="AO285" i="4"/>
  <c r="AN285" i="4"/>
  <c r="AP79" i="4"/>
  <c r="AO79" i="4"/>
  <c r="AN79" i="4"/>
  <c r="AP435" i="4"/>
  <c r="AO435" i="4"/>
  <c r="AN435" i="4"/>
  <c r="AP591" i="4"/>
  <c r="AO591" i="4"/>
  <c r="AN591" i="4"/>
  <c r="AP300" i="4"/>
  <c r="AO300" i="4"/>
  <c r="AN300" i="4"/>
  <c r="AP390" i="4"/>
  <c r="AN390" i="4"/>
  <c r="AO390" i="4"/>
  <c r="AP68" i="4"/>
  <c r="AO68" i="4"/>
  <c r="AN68" i="4"/>
  <c r="AP528" i="4"/>
  <c r="AO528" i="4"/>
  <c r="AN528" i="4"/>
  <c r="AP474" i="4"/>
  <c r="AO474" i="4"/>
  <c r="AN474" i="4"/>
  <c r="AP587" i="4"/>
  <c r="AO587" i="4"/>
  <c r="AN587" i="4"/>
  <c r="AP488" i="4"/>
  <c r="AO488" i="4"/>
  <c r="AN488" i="4"/>
  <c r="AP293" i="4"/>
  <c r="AO293" i="4"/>
  <c r="AN293" i="4"/>
  <c r="AP447" i="4"/>
  <c r="AO447" i="4"/>
  <c r="AN447" i="4"/>
  <c r="AP575" i="4"/>
  <c r="AO575" i="4"/>
  <c r="AN575" i="4"/>
  <c r="AP410" i="4"/>
  <c r="AO410" i="4"/>
  <c r="AN410" i="4"/>
  <c r="AP244" i="4"/>
  <c r="AN244" i="4"/>
  <c r="AO244" i="4"/>
  <c r="AP487" i="4"/>
  <c r="AO487" i="4"/>
  <c r="AN487" i="4"/>
  <c r="AP288" i="4"/>
  <c r="AN288" i="4"/>
  <c r="AO288" i="4"/>
  <c r="AP418" i="4"/>
  <c r="AO418" i="4"/>
  <c r="AN418" i="4"/>
  <c r="AP527" i="4"/>
  <c r="AO527" i="4"/>
  <c r="AN527" i="4"/>
  <c r="AP522" i="4"/>
  <c r="AO522" i="4"/>
  <c r="AN522" i="4"/>
  <c r="AP356" i="4"/>
  <c r="AO356" i="4"/>
  <c r="AN356" i="4"/>
  <c r="AP432" i="4"/>
  <c r="AO432" i="4"/>
  <c r="AN432" i="4"/>
  <c r="AP85" i="4"/>
  <c r="AO85" i="4"/>
  <c r="AN85" i="4"/>
  <c r="AP563" i="4"/>
  <c r="AN563" i="4"/>
  <c r="AO563" i="4"/>
  <c r="AP257" i="4"/>
  <c r="AN257" i="4"/>
  <c r="AO257" i="4"/>
  <c r="AP403" i="4"/>
  <c r="AO403" i="4"/>
  <c r="AN403" i="4"/>
  <c r="AP290" i="4"/>
  <c r="AN290" i="4"/>
  <c r="AO290" i="4"/>
  <c r="AP414" i="4"/>
  <c r="AO414" i="4"/>
  <c r="AN414" i="4"/>
  <c r="AP256" i="4"/>
  <c r="AO256" i="4"/>
  <c r="AN256" i="4"/>
  <c r="AP62" i="4"/>
  <c r="AO62" i="4"/>
  <c r="AN62" i="4"/>
  <c r="AP234" i="4"/>
  <c r="AN234" i="4"/>
  <c r="AO234" i="4"/>
  <c r="AP533" i="4"/>
  <c r="AN533" i="4"/>
  <c r="AO533" i="4"/>
  <c r="AP144" i="4"/>
  <c r="AO144" i="4"/>
  <c r="AN144" i="4"/>
  <c r="AP398" i="4"/>
  <c r="AN398" i="4"/>
  <c r="AO398" i="4"/>
  <c r="AP275" i="4"/>
  <c r="AO275" i="4"/>
  <c r="AN275" i="4"/>
  <c r="AP111" i="4"/>
  <c r="AO111" i="4"/>
  <c r="AN111" i="4"/>
  <c r="AP568" i="4"/>
  <c r="AO568" i="4"/>
  <c r="AN568" i="4"/>
  <c r="AP313" i="4"/>
  <c r="AO313" i="4"/>
  <c r="AN313" i="4"/>
  <c r="AP200" i="4"/>
  <c r="AO200" i="4"/>
  <c r="AN200" i="4"/>
  <c r="AP212" i="4"/>
  <c r="AN212" i="4"/>
  <c r="AO212" i="4"/>
  <c r="AP317" i="4"/>
  <c r="AO317" i="4"/>
  <c r="AN317" i="4"/>
  <c r="AP483" i="4"/>
  <c r="AO483" i="4"/>
  <c r="AN483" i="4"/>
  <c r="AP265" i="4"/>
  <c r="AN265" i="4"/>
  <c r="AO265" i="4"/>
  <c r="AG51" i="4"/>
  <c r="Y51" i="4"/>
  <c r="AA51" i="4" s="1"/>
  <c r="AG50" i="4"/>
  <c r="Y50" i="4"/>
  <c r="AA50" i="4" s="1"/>
  <c r="AP401" i="4"/>
  <c r="AN401" i="4"/>
  <c r="AO401" i="4"/>
  <c r="AP485" i="4"/>
  <c r="AO485" i="4"/>
  <c r="AN485" i="4"/>
  <c r="AP508" i="4"/>
  <c r="AO508" i="4"/>
  <c r="AN508" i="4"/>
  <c r="AP342" i="4"/>
  <c r="AN342" i="4"/>
  <c r="AO342" i="4"/>
  <c r="AP585" i="4"/>
  <c r="AN585" i="4"/>
  <c r="AO585" i="4"/>
  <c r="AP218" i="4"/>
  <c r="AO218" i="4"/>
  <c r="AN218" i="4"/>
  <c r="AP475" i="4"/>
  <c r="AO475" i="4"/>
  <c r="AN475" i="4"/>
  <c r="AP358" i="4"/>
  <c r="AN358" i="4"/>
  <c r="AO358" i="4"/>
  <c r="AP454" i="4"/>
  <c r="AO454" i="4"/>
  <c r="AN454" i="4"/>
  <c r="AP530" i="4"/>
  <c r="AO530" i="4"/>
  <c r="AN530" i="4"/>
  <c r="AP211" i="4"/>
  <c r="AN211" i="4"/>
  <c r="AO211" i="4"/>
  <c r="AP116" i="4"/>
  <c r="AN116" i="4"/>
  <c r="AO116" i="4"/>
  <c r="AP439" i="4"/>
  <c r="AO439" i="4"/>
  <c r="AN439" i="4"/>
  <c r="AP515" i="4"/>
  <c r="AO515" i="4"/>
  <c r="AN515" i="4"/>
  <c r="AP252" i="4"/>
  <c r="AN252" i="4"/>
  <c r="AO252" i="4"/>
  <c r="AP240" i="4"/>
  <c r="AO240" i="4"/>
  <c r="AN240" i="4"/>
  <c r="AP354" i="4"/>
  <c r="AO354" i="4"/>
  <c r="AN354" i="4"/>
  <c r="AP160" i="4"/>
  <c r="AO160" i="4"/>
  <c r="AN160" i="4"/>
  <c r="AP107" i="4"/>
  <c r="AN107" i="4"/>
  <c r="AO107" i="4"/>
  <c r="AP512" i="4"/>
  <c r="AO512" i="4"/>
  <c r="AN512" i="4"/>
  <c r="AP368" i="4"/>
  <c r="AO368" i="4"/>
  <c r="AN368" i="4"/>
  <c r="AP65" i="4"/>
  <c r="AO65" i="4"/>
  <c r="AN65" i="4"/>
  <c r="AP141" i="4"/>
  <c r="AO141" i="4"/>
  <c r="AN141" i="4"/>
  <c r="AP570" i="4"/>
  <c r="AO570" i="4"/>
  <c r="AN570" i="4"/>
  <c r="AP83" i="4"/>
  <c r="AN83" i="4"/>
  <c r="AO83" i="4"/>
  <c r="AP53" i="4"/>
  <c r="AO53" i="4"/>
  <c r="AN53" i="4"/>
  <c r="AP104" i="4"/>
  <c r="AN104" i="4"/>
  <c r="AO104" i="4"/>
  <c r="AP387" i="4"/>
  <c r="AO387" i="4"/>
  <c r="AN387" i="4"/>
  <c r="AP496" i="4"/>
  <c r="AO496" i="4"/>
  <c r="AN496" i="4"/>
  <c r="AP173" i="4"/>
  <c r="AN173" i="4"/>
  <c r="AO173" i="4"/>
  <c r="AP188" i="4"/>
  <c r="AO188" i="4"/>
  <c r="AN188" i="4"/>
  <c r="AP175" i="4"/>
  <c r="AN175" i="4"/>
  <c r="AO175" i="4"/>
  <c r="AP170" i="4"/>
  <c r="AO170" i="4"/>
  <c r="AN170" i="4"/>
  <c r="AP177" i="4"/>
  <c r="AN177" i="4"/>
  <c r="AO177" i="4"/>
  <c r="AA163" i="4"/>
  <c r="AP183" i="4"/>
  <c r="AN183" i="4"/>
  <c r="AO183" i="4"/>
  <c r="AP186" i="4"/>
  <c r="AO186" i="4"/>
  <c r="AN186" i="4"/>
  <c r="AP184" i="4"/>
  <c r="AN184" i="4"/>
  <c r="AO184" i="4"/>
  <c r="AP179" i="4"/>
  <c r="AN179" i="4"/>
  <c r="AO179" i="4"/>
  <c r="AP165" i="4"/>
  <c r="AN165" i="4"/>
  <c r="AO165" i="4"/>
  <c r="AP169" i="4"/>
  <c r="AN169" i="4"/>
  <c r="AO169" i="4"/>
  <c r="AP180" i="4"/>
  <c r="AO180" i="4"/>
  <c r="AN180" i="4"/>
  <c r="AP172" i="4"/>
  <c r="AN172" i="4"/>
  <c r="AO172" i="4"/>
  <c r="AP181" i="4"/>
  <c r="AO181" i="4"/>
  <c r="AN181" i="4"/>
  <c r="AP189" i="4"/>
  <c r="AO189" i="4"/>
  <c r="AN189" i="4"/>
  <c r="AP176" i="4"/>
  <c r="AO176" i="4"/>
  <c r="AN176" i="4"/>
  <c r="AP167" i="4"/>
  <c r="AN167" i="4"/>
  <c r="AO167" i="4"/>
  <c r="AP164" i="4"/>
  <c r="AO164" i="4"/>
  <c r="AN164" i="4"/>
  <c r="F2" i="18"/>
  <c r="AQ453" i="4"/>
  <c r="AR453" i="4"/>
  <c r="AQ429" i="4"/>
  <c r="AR429" i="4"/>
  <c r="AQ493" i="4"/>
  <c r="AR493" i="4"/>
  <c r="AR214" i="4"/>
  <c r="AQ214" i="4"/>
  <c r="AR182" i="4"/>
  <c r="AQ182" i="4"/>
  <c r="AR270" i="4"/>
  <c r="AQ270" i="4"/>
  <c r="AQ292" i="4"/>
  <c r="AR292" i="4"/>
  <c r="AR262" i="4"/>
  <c r="AQ262" i="4"/>
  <c r="AR393" i="4"/>
  <c r="AQ393" i="4"/>
  <c r="AR361" i="4"/>
  <c r="AQ361" i="4"/>
  <c r="AQ467" i="4"/>
  <c r="AR467" i="4"/>
  <c r="AR540" i="4"/>
  <c r="AQ540" i="4"/>
  <c r="AQ365" i="4"/>
  <c r="AR365" i="4"/>
  <c r="AR369" i="4"/>
  <c r="AQ369" i="4"/>
  <c r="AR353" i="4"/>
  <c r="AQ353" i="4"/>
  <c r="AQ363" i="4"/>
  <c r="AR363" i="4"/>
  <c r="AR166" i="4"/>
  <c r="AQ166" i="4"/>
  <c r="AR282" i="4"/>
  <c r="AQ282" i="4"/>
  <c r="AR516" i="4"/>
  <c r="AQ516" i="4"/>
  <c r="AR74" i="4"/>
  <c r="AQ74" i="4"/>
  <c r="AR278" i="4"/>
  <c r="AQ278" i="4"/>
  <c r="AR64" i="4"/>
  <c r="AQ64" i="4"/>
  <c r="AQ338" i="4"/>
  <c r="AR338" i="4"/>
  <c r="AR558" i="4"/>
  <c r="AQ558" i="4"/>
  <c r="AQ469" i="4"/>
  <c r="AR469" i="4"/>
  <c r="AR584" i="4"/>
  <c r="AQ584" i="4"/>
  <c r="AR190" i="4"/>
  <c r="AQ190" i="4"/>
  <c r="AR80" i="4"/>
  <c r="AQ80" i="4"/>
  <c r="AR174" i="4"/>
  <c r="AQ174" i="4"/>
  <c r="AQ379" i="4"/>
  <c r="AR379" i="4"/>
  <c r="AR96" i="4"/>
  <c r="AQ96" i="4"/>
  <c r="AR564" i="4"/>
  <c r="AQ564" i="4"/>
  <c r="AQ220" i="4"/>
  <c r="AR220" i="4"/>
  <c r="AR423" i="4"/>
  <c r="AQ423" i="4"/>
  <c r="AQ405" i="4"/>
  <c r="AR405" i="4"/>
  <c r="AR70" i="4"/>
  <c r="AQ70" i="4"/>
  <c r="AR204" i="4"/>
  <c r="AQ204" i="4"/>
  <c r="AQ246" i="4"/>
  <c r="AR246" i="4"/>
  <c r="AR294" i="4"/>
  <c r="AQ294" i="4"/>
  <c r="AQ327" i="4"/>
  <c r="AR327" i="4"/>
  <c r="AQ206" i="4"/>
  <c r="AR206" i="4"/>
  <c r="AR198" i="4"/>
  <c r="AQ198" i="4"/>
  <c r="AR574" i="4"/>
  <c r="AQ574" i="4"/>
  <c r="AR431" i="4"/>
  <c r="AQ431" i="4"/>
  <c r="AQ443" i="4"/>
  <c r="AR443" i="4"/>
  <c r="AR590" i="4"/>
  <c r="AQ590" i="4"/>
  <c r="AR314" i="4"/>
  <c r="AQ314" i="4"/>
  <c r="AQ254" i="4"/>
  <c r="AR254" i="4"/>
  <c r="AR572" i="4"/>
  <c r="AQ572" i="4"/>
  <c r="AR222" i="4"/>
  <c r="AQ222" i="4"/>
  <c r="AQ394" i="4"/>
  <c r="AR394" i="4"/>
  <c r="AR210" i="4"/>
  <c r="AQ210" i="4"/>
  <c r="AR194" i="4"/>
  <c r="AQ194" i="4"/>
  <c r="AR324" i="4"/>
  <c r="AQ324" i="4"/>
  <c r="AQ331" i="4"/>
  <c r="AR331" i="4"/>
  <c r="AR242" i="4"/>
  <c r="AQ242" i="4"/>
  <c r="AR238" i="4"/>
  <c r="AQ238" i="4"/>
  <c r="AQ148" i="4"/>
  <c r="AR148" i="4"/>
  <c r="AR532" i="4"/>
  <c r="AQ532" i="4"/>
  <c r="AR542" i="4"/>
  <c r="AQ542" i="4"/>
  <c r="AR302" i="4"/>
  <c r="AQ302" i="4"/>
  <c r="AR171" i="4"/>
  <c r="AQ171" i="4"/>
  <c r="AR318" i="4"/>
  <c r="AQ318" i="4"/>
  <c r="AQ491" i="4"/>
  <c r="AR491" i="4"/>
  <c r="AR343" i="4"/>
  <c r="AQ343" i="4"/>
  <c r="AR526" i="4"/>
  <c r="AQ526" i="4"/>
  <c r="AQ274" i="4"/>
  <c r="AR274" i="4"/>
  <c r="AR534" i="4"/>
  <c r="AQ534" i="4"/>
  <c r="AR146" i="4"/>
  <c r="AQ146" i="4"/>
  <c r="AR230" i="4"/>
  <c r="AQ230" i="4"/>
  <c r="AR337" i="4"/>
  <c r="AQ337" i="4"/>
  <c r="AR58" i="4"/>
  <c r="AQ58" i="4"/>
  <c r="AR187" i="4"/>
  <c r="AQ187" i="4"/>
  <c r="AR455" i="4"/>
  <c r="AQ455" i="4"/>
  <c r="AR66" i="4"/>
  <c r="AQ66" i="4"/>
  <c r="AR310" i="4"/>
  <c r="AQ310" i="4"/>
  <c r="AR286" i="4"/>
  <c r="AQ286" i="4"/>
  <c r="AQ413" i="4"/>
  <c r="AR413" i="4"/>
  <c r="AQ389" i="4"/>
  <c r="AR389" i="4"/>
  <c r="AR158" i="4"/>
  <c r="AQ158" i="4"/>
  <c r="AR436" i="4"/>
  <c r="AQ436" i="4"/>
  <c r="K2" i="18"/>
  <c r="G2" i="18"/>
  <c r="C12" i="13"/>
  <c r="C2" i="18"/>
  <c r="AN28" i="4"/>
  <c r="AO28" i="4"/>
  <c r="E13" i="13"/>
  <c r="E12" i="13"/>
  <c r="I4" i="13"/>
  <c r="I9" i="13" s="1"/>
  <c r="G4" i="13"/>
  <c r="G9" i="13" s="1"/>
  <c r="H4" i="13"/>
  <c r="H9" i="13" s="1"/>
  <c r="E10" i="13"/>
  <c r="E8" i="13"/>
  <c r="E6" i="13"/>
  <c r="E5" i="13"/>
  <c r="E7" i="13"/>
  <c r="E11" i="13"/>
  <c r="E14" i="13"/>
  <c r="E15" i="13"/>
  <c r="D4" i="13"/>
  <c r="D9" i="13" s="1"/>
  <c r="AB32" i="4"/>
  <c r="AP32" i="4" s="1"/>
  <c r="AB50" i="4"/>
  <c r="AP50" i="4" s="1"/>
  <c r="AB42" i="4"/>
  <c r="AP42" i="4" s="1"/>
  <c r="AB34" i="4"/>
  <c r="AP34" i="4" s="1"/>
  <c r="AB49" i="4"/>
  <c r="AP49" i="4" s="1"/>
  <c r="AB33" i="4"/>
  <c r="AP33" i="4" s="1"/>
  <c r="AB47" i="4"/>
  <c r="AP47" i="4" s="1"/>
  <c r="AB39" i="4"/>
  <c r="AP39" i="4" s="1"/>
  <c r="AB31" i="4"/>
  <c r="AP31" i="4" s="1"/>
  <c r="AB48" i="4"/>
  <c r="AP48" i="4" s="1"/>
  <c r="AB46" i="4"/>
  <c r="AP46" i="4" s="1"/>
  <c r="AB38" i="4"/>
  <c r="AP38" i="4" s="1"/>
  <c r="AB30" i="4"/>
  <c r="AB45" i="4"/>
  <c r="AP45" i="4" s="1"/>
  <c r="AB37" i="4"/>
  <c r="AB25" i="4" s="1"/>
  <c r="AB40" i="4"/>
  <c r="AP40" i="4" s="1"/>
  <c r="AB44" i="4"/>
  <c r="AP44" i="4" s="1"/>
  <c r="AB36" i="4"/>
  <c r="AP36" i="4" s="1"/>
  <c r="AB51" i="4"/>
  <c r="AP51" i="4" s="1"/>
  <c r="AB43" i="4"/>
  <c r="AP43" i="4" s="1"/>
  <c r="AB35" i="4"/>
  <c r="AP35" i="4" s="1"/>
  <c r="O42" i="4"/>
  <c r="O47" i="4"/>
  <c r="O28" i="4"/>
  <c r="O40" i="4"/>
  <c r="O46" i="4"/>
  <c r="O49" i="4"/>
  <c r="O48" i="4"/>
  <c r="O37" i="4"/>
  <c r="O30" i="4"/>
  <c r="O36" i="4"/>
  <c r="O43" i="4"/>
  <c r="O35" i="4"/>
  <c r="O41" i="4"/>
  <c r="O31" i="4"/>
  <c r="O32" i="4"/>
  <c r="O33" i="4"/>
  <c r="O44" i="4"/>
  <c r="O50" i="4"/>
  <c r="O34" i="4"/>
  <c r="O38" i="4"/>
  <c r="O39" i="4"/>
  <c r="O45" i="4"/>
  <c r="O51" i="4"/>
  <c r="R22" i="4"/>
  <c r="R23" i="4" s="1"/>
  <c r="S26" i="4" l="1"/>
  <c r="S4" i="4"/>
  <c r="S18" i="4" s="1"/>
  <c r="S20" i="4" s="1"/>
  <c r="AQ150" i="4"/>
  <c r="AR150" i="4"/>
  <c r="AR253" i="4"/>
  <c r="AQ253" i="4"/>
  <c r="AQ359" i="4"/>
  <c r="AR359" i="4"/>
  <c r="AR462" i="4"/>
  <c r="AQ462" i="4"/>
  <c r="AR350" i="4"/>
  <c r="AQ350" i="4"/>
  <c r="AR237" i="4"/>
  <c r="AQ237" i="4"/>
  <c r="AR107" i="4"/>
  <c r="AQ107" i="4"/>
  <c r="AR585" i="4"/>
  <c r="AQ585" i="4"/>
  <c r="AR212" i="4"/>
  <c r="AQ212" i="4"/>
  <c r="AQ403" i="4"/>
  <c r="AR403" i="4"/>
  <c r="AR447" i="4"/>
  <c r="AQ447" i="4"/>
  <c r="AR591" i="4"/>
  <c r="AQ591" i="4"/>
  <c r="AQ589" i="4"/>
  <c r="AR589" i="4"/>
  <c r="AR513" i="4"/>
  <c r="AQ513" i="4"/>
  <c r="AR236" i="4"/>
  <c r="AQ236" i="4"/>
  <c r="AR492" i="4"/>
  <c r="AQ492" i="4"/>
  <c r="AR323" i="4"/>
  <c r="AQ323" i="4"/>
  <c r="AR502" i="4"/>
  <c r="AQ502" i="4"/>
  <c r="AQ125" i="4"/>
  <c r="AR125" i="4"/>
  <c r="AR297" i="4"/>
  <c r="AQ297" i="4"/>
  <c r="AQ57" i="4"/>
  <c r="AR57" i="4"/>
  <c r="AQ399" i="4"/>
  <c r="AR399" i="4"/>
  <c r="AR553" i="4"/>
  <c r="AQ553" i="4"/>
  <c r="AR484" i="4"/>
  <c r="AQ484" i="4"/>
  <c r="AR567" i="4"/>
  <c r="AQ567" i="4"/>
  <c r="AR543" i="4"/>
  <c r="AQ543" i="4"/>
  <c r="AR280" i="4"/>
  <c r="AQ280" i="4"/>
  <c r="AR100" i="4"/>
  <c r="AQ100" i="4"/>
  <c r="AR583" i="4"/>
  <c r="AQ583" i="4"/>
  <c r="AR122" i="4"/>
  <c r="AQ122" i="4"/>
  <c r="AR308" i="4"/>
  <c r="AQ308" i="4"/>
  <c r="AQ143" i="4"/>
  <c r="AR143" i="4"/>
  <c r="AR420" i="4"/>
  <c r="AQ420" i="4"/>
  <c r="AR550" i="4"/>
  <c r="AQ550" i="4"/>
  <c r="AQ217" i="4"/>
  <c r="AR217" i="4"/>
  <c r="AR340" i="4"/>
  <c r="AQ340" i="4"/>
  <c r="AR372" i="4"/>
  <c r="AQ372" i="4"/>
  <c r="AQ424" i="4"/>
  <c r="AR424" i="4"/>
  <c r="AR295" i="4"/>
  <c r="AQ295" i="4"/>
  <c r="AR588" i="4"/>
  <c r="AQ588" i="4"/>
  <c r="AR474" i="4"/>
  <c r="AQ474" i="4"/>
  <c r="AQ421" i="4"/>
  <c r="AR421" i="4"/>
  <c r="AR137" i="4"/>
  <c r="AQ137" i="4"/>
  <c r="AR402" i="4"/>
  <c r="AQ402" i="4"/>
  <c r="AR478" i="4"/>
  <c r="AQ478" i="4"/>
  <c r="AR440" i="4"/>
  <c r="AQ440" i="4"/>
  <c r="AQ387" i="4"/>
  <c r="AR387" i="4"/>
  <c r="AQ515" i="4"/>
  <c r="AR515" i="4"/>
  <c r="AQ275" i="4"/>
  <c r="AR275" i="4"/>
  <c r="AR356" i="4"/>
  <c r="AQ356" i="4"/>
  <c r="AR519" i="4"/>
  <c r="AQ519" i="4"/>
  <c r="AR477" i="4"/>
  <c r="AQ477" i="4"/>
  <c r="AQ239" i="4"/>
  <c r="AR239" i="4"/>
  <c r="AR305" i="4"/>
  <c r="AQ305" i="4"/>
  <c r="AQ333" i="4"/>
  <c r="AR333" i="4"/>
  <c r="AQ110" i="4"/>
  <c r="AR110" i="4"/>
  <c r="AR260" i="4"/>
  <c r="AQ260" i="4"/>
  <c r="AQ395" i="4"/>
  <c r="AR395" i="4"/>
  <c r="AR576" i="4"/>
  <c r="AQ576" i="4"/>
  <c r="AR287" i="4"/>
  <c r="AQ287" i="4"/>
  <c r="AR500" i="4"/>
  <c r="AQ500" i="4"/>
  <c r="AQ551" i="4"/>
  <c r="AR551" i="4"/>
  <c r="AR233" i="4"/>
  <c r="AQ233" i="4"/>
  <c r="AR335" i="4"/>
  <c r="AQ335" i="4"/>
  <c r="AQ219" i="4"/>
  <c r="AR219" i="4"/>
  <c r="AR386" i="4"/>
  <c r="AQ386" i="4"/>
  <c r="AR271" i="4"/>
  <c r="AQ271" i="4"/>
  <c r="AQ523" i="4"/>
  <c r="AR523" i="4"/>
  <c r="AR382" i="4"/>
  <c r="AQ382" i="4"/>
  <c r="AQ316" i="4"/>
  <c r="AR316" i="4"/>
  <c r="AQ579" i="4"/>
  <c r="AR579" i="4"/>
  <c r="AR128" i="4"/>
  <c r="AQ128" i="4"/>
  <c r="AQ597" i="4"/>
  <c r="AR597" i="4"/>
  <c r="AR345" i="4"/>
  <c r="AQ345" i="4"/>
  <c r="AR538" i="4"/>
  <c r="AQ538" i="4"/>
  <c r="AQ339" i="4"/>
  <c r="AR339" i="4"/>
  <c r="AQ252" i="4"/>
  <c r="AR252" i="4"/>
  <c r="AQ249" i="4"/>
  <c r="AR249" i="4"/>
  <c r="AQ306" i="4"/>
  <c r="AR306" i="4"/>
  <c r="AR437" i="4"/>
  <c r="AQ437" i="4"/>
  <c r="AQ141" i="4"/>
  <c r="AR141" i="4"/>
  <c r="AR454" i="4"/>
  <c r="AQ454" i="4"/>
  <c r="AQ62" i="4"/>
  <c r="AR62" i="4"/>
  <c r="AR487" i="4"/>
  <c r="AQ487" i="4"/>
  <c r="AR528" i="4"/>
  <c r="AQ528" i="4"/>
  <c r="AR140" i="4"/>
  <c r="AQ140" i="4"/>
  <c r="AR60" i="4"/>
  <c r="AQ60" i="4"/>
  <c r="AQ94" i="4"/>
  <c r="AR94" i="4"/>
  <c r="AQ106" i="4"/>
  <c r="AR106" i="4"/>
  <c r="AQ362" i="4"/>
  <c r="AR362" i="4"/>
  <c r="AR123" i="4"/>
  <c r="AQ123" i="4"/>
  <c r="AQ196" i="4"/>
  <c r="AR196" i="4"/>
  <c r="AQ71" i="4"/>
  <c r="AR71" i="4"/>
  <c r="AR145" i="4"/>
  <c r="AQ145" i="4"/>
  <c r="AR89" i="4"/>
  <c r="AQ89" i="4"/>
  <c r="AQ105" i="4"/>
  <c r="AR105" i="4"/>
  <c r="AQ425" i="4"/>
  <c r="AR425" i="4"/>
  <c r="AR119" i="4"/>
  <c r="AQ119" i="4"/>
  <c r="AR511" i="4"/>
  <c r="AQ511" i="4"/>
  <c r="AR433" i="4"/>
  <c r="AQ433" i="4"/>
  <c r="AQ541" i="4"/>
  <c r="AR541" i="4"/>
  <c r="AQ481" i="4"/>
  <c r="AR481" i="4"/>
  <c r="AR86" i="4"/>
  <c r="AQ86" i="4"/>
  <c r="AR87" i="4"/>
  <c r="AQ87" i="4"/>
  <c r="AR364" i="4"/>
  <c r="AQ364" i="4"/>
  <c r="AQ322" i="4"/>
  <c r="AR322" i="4"/>
  <c r="AR428" i="4"/>
  <c r="AQ428" i="4"/>
  <c r="AQ52" i="4"/>
  <c r="AR52" i="4"/>
  <c r="AQ490" i="4"/>
  <c r="AR490" i="4"/>
  <c r="AR575" i="4"/>
  <c r="AQ575" i="4"/>
  <c r="AR138" i="4"/>
  <c r="AQ138" i="4"/>
  <c r="AQ261" i="4"/>
  <c r="AR261" i="4"/>
  <c r="AR366" i="4"/>
  <c r="AQ366" i="4"/>
  <c r="AQ432" i="4"/>
  <c r="AR432" i="4"/>
  <c r="AR281" i="4"/>
  <c r="AQ281" i="4"/>
  <c r="AR113" i="4"/>
  <c r="AQ113" i="4"/>
  <c r="AR161" i="4"/>
  <c r="AQ161" i="4"/>
  <c r="AQ160" i="4"/>
  <c r="AR160" i="4"/>
  <c r="AQ342" i="4"/>
  <c r="AR342" i="4"/>
  <c r="AR200" i="4"/>
  <c r="AQ200" i="4"/>
  <c r="AR257" i="4"/>
  <c r="AQ257" i="4"/>
  <c r="AR435" i="4"/>
  <c r="AQ435" i="4"/>
  <c r="AR320" i="4"/>
  <c r="AQ320" i="4"/>
  <c r="AR303" i="4"/>
  <c r="AQ303" i="4"/>
  <c r="AQ501" i="4"/>
  <c r="AR501" i="4"/>
  <c r="AR510" i="4"/>
  <c r="AQ510" i="4"/>
  <c r="AR544" i="4"/>
  <c r="AQ544" i="4"/>
  <c r="AR162" i="4"/>
  <c r="AQ162" i="4"/>
  <c r="AR199" i="4"/>
  <c r="AQ199" i="4"/>
  <c r="AQ225" i="4"/>
  <c r="AR225" i="4"/>
  <c r="AR404" i="4"/>
  <c r="AQ404" i="4"/>
  <c r="AR400" i="4"/>
  <c r="AQ400" i="4"/>
  <c r="AR556" i="4"/>
  <c r="AQ556" i="4"/>
  <c r="AQ269" i="4"/>
  <c r="AR269" i="4"/>
  <c r="AR289" i="4"/>
  <c r="AQ289" i="4"/>
  <c r="AR195" i="4"/>
  <c r="AQ195" i="4"/>
  <c r="AR562" i="4"/>
  <c r="AQ562" i="4"/>
  <c r="AR444" i="4"/>
  <c r="AQ444" i="4"/>
  <c r="AR336" i="4"/>
  <c r="AQ336" i="4"/>
  <c r="AR209" i="4"/>
  <c r="AQ209" i="4"/>
  <c r="AQ517" i="4"/>
  <c r="AR517" i="4"/>
  <c r="AR205" i="4"/>
  <c r="AQ205" i="4"/>
  <c r="AR93" i="4"/>
  <c r="AQ93" i="4"/>
  <c r="AQ95" i="4"/>
  <c r="AR95" i="4"/>
  <c r="AQ438" i="4"/>
  <c r="AR438" i="4"/>
  <c r="AR464" i="4"/>
  <c r="AQ464" i="4"/>
  <c r="AR442" i="4"/>
  <c r="AQ442" i="4"/>
  <c r="AR218" i="4"/>
  <c r="AQ218" i="4"/>
  <c r="AR290" i="4"/>
  <c r="AQ290" i="4"/>
  <c r="AQ450" i="4"/>
  <c r="AR450" i="4"/>
  <c r="AR582" i="4"/>
  <c r="AQ582" i="4"/>
  <c r="AR227" i="4"/>
  <c r="AQ227" i="4"/>
  <c r="AR224" i="4"/>
  <c r="AQ224" i="4"/>
  <c r="AR347" i="4"/>
  <c r="AQ347" i="4"/>
  <c r="AR61" i="4"/>
  <c r="AQ61" i="4"/>
  <c r="AR378" i="4"/>
  <c r="AQ378" i="4"/>
  <c r="AR479" i="4"/>
  <c r="AQ479" i="4"/>
  <c r="AR330" i="4"/>
  <c r="AQ330" i="4"/>
  <c r="AQ357" i="4"/>
  <c r="AR357" i="4"/>
  <c r="AR559" i="4"/>
  <c r="AQ559" i="4"/>
  <c r="AQ451" i="4"/>
  <c r="AR451" i="4"/>
  <c r="AR273" i="4"/>
  <c r="AQ273" i="4"/>
  <c r="AR498" i="4"/>
  <c r="AQ498" i="4"/>
  <c r="AR545" i="4"/>
  <c r="AQ545" i="4"/>
  <c r="AQ530" i="4"/>
  <c r="AR530" i="4"/>
  <c r="AR234" i="4"/>
  <c r="AQ234" i="4"/>
  <c r="AR152" i="4"/>
  <c r="AQ152" i="4"/>
  <c r="AR102" i="4"/>
  <c r="AQ102" i="4"/>
  <c r="AR104" i="4"/>
  <c r="AQ104" i="4"/>
  <c r="AR439" i="4"/>
  <c r="AQ439" i="4"/>
  <c r="AR398" i="4"/>
  <c r="AQ398" i="4"/>
  <c r="AR522" i="4"/>
  <c r="AQ522" i="4"/>
  <c r="AQ293" i="4"/>
  <c r="AR293" i="4"/>
  <c r="AQ573" i="4"/>
  <c r="AR573" i="4"/>
  <c r="AR373" i="4"/>
  <c r="AQ373" i="4"/>
  <c r="AQ460" i="4"/>
  <c r="AR460" i="4"/>
  <c r="AR109" i="4"/>
  <c r="AQ109" i="4"/>
  <c r="Z39" i="4"/>
  <c r="AA39" i="4" s="1"/>
  <c r="AR153" i="4"/>
  <c r="AQ153" i="4"/>
  <c r="AR151" i="4"/>
  <c r="AQ151" i="4"/>
  <c r="Z40" i="4"/>
  <c r="AL40" i="4" s="1"/>
  <c r="AQ480" i="4"/>
  <c r="AR480" i="4"/>
  <c r="AR596" i="4"/>
  <c r="AQ596" i="4"/>
  <c r="AR108" i="4"/>
  <c r="AQ108" i="4"/>
  <c r="AR537" i="4"/>
  <c r="AQ537" i="4"/>
  <c r="AR505" i="4"/>
  <c r="AQ505" i="4"/>
  <c r="AR72" i="4"/>
  <c r="AQ72" i="4"/>
  <c r="AR352" i="4"/>
  <c r="AQ352" i="4"/>
  <c r="AR232" i="4"/>
  <c r="AQ232" i="4"/>
  <c r="AQ221" i="4"/>
  <c r="AR221" i="4"/>
  <c r="AQ456" i="4"/>
  <c r="AR456" i="4"/>
  <c r="AR157" i="4"/>
  <c r="AQ157" i="4"/>
  <c r="AR367" i="4"/>
  <c r="AQ367" i="4"/>
  <c r="AQ525" i="4"/>
  <c r="AR525" i="4"/>
  <c r="AR136" i="4"/>
  <c r="AQ136" i="4"/>
  <c r="AQ127" i="4"/>
  <c r="AR127" i="4"/>
  <c r="AQ284" i="4"/>
  <c r="AR284" i="4"/>
  <c r="AR506" i="4"/>
  <c r="AQ506" i="4"/>
  <c r="AR482" i="4"/>
  <c r="AQ482" i="4"/>
  <c r="AR69" i="4"/>
  <c r="AQ69" i="4"/>
  <c r="AR512" i="4"/>
  <c r="AQ512" i="4"/>
  <c r="AQ348" i="4"/>
  <c r="AR348" i="4"/>
  <c r="AR548" i="4"/>
  <c r="AQ548" i="4"/>
  <c r="AR288" i="4"/>
  <c r="AQ288" i="4"/>
  <c r="AR197" i="4"/>
  <c r="AQ197" i="4"/>
  <c r="AR115" i="4"/>
  <c r="AQ115" i="4"/>
  <c r="AQ547" i="4"/>
  <c r="AR547" i="4"/>
  <c r="AQ509" i="4"/>
  <c r="AR509" i="4"/>
  <c r="AQ65" i="4"/>
  <c r="AR65" i="4"/>
  <c r="AR358" i="4"/>
  <c r="AQ358" i="4"/>
  <c r="AR265" i="4"/>
  <c r="AQ265" i="4"/>
  <c r="AR256" i="4"/>
  <c r="AQ256" i="4"/>
  <c r="AR244" i="4"/>
  <c r="AQ244" i="4"/>
  <c r="AQ68" i="4"/>
  <c r="AR68" i="4"/>
  <c r="AQ334" i="4"/>
  <c r="AR334" i="4"/>
  <c r="AQ248" i="4"/>
  <c r="AR248" i="4"/>
  <c r="AR489" i="4"/>
  <c r="AQ489" i="4"/>
  <c r="AR595" i="4"/>
  <c r="AQ595" i="4"/>
  <c r="AR229" i="4"/>
  <c r="AQ229" i="4"/>
  <c r="AR264" i="4"/>
  <c r="AQ264" i="4"/>
  <c r="AR374" i="4"/>
  <c r="AQ374" i="4"/>
  <c r="AR114" i="4"/>
  <c r="AQ114" i="4"/>
  <c r="AR549" i="4"/>
  <c r="AQ549" i="4"/>
  <c r="AR412" i="4"/>
  <c r="AQ412" i="4"/>
  <c r="AR408" i="4"/>
  <c r="AQ408" i="4"/>
  <c r="AR376" i="4"/>
  <c r="AQ376" i="4"/>
  <c r="AQ581" i="4"/>
  <c r="AR581" i="4"/>
  <c r="AQ124" i="4"/>
  <c r="AR124" i="4"/>
  <c r="AQ82" i="4"/>
  <c r="AR82" i="4"/>
  <c r="AR91" i="4"/>
  <c r="AQ91" i="4"/>
  <c r="AR409" i="4"/>
  <c r="AQ409" i="4"/>
  <c r="AR518" i="4"/>
  <c r="AQ518" i="4"/>
  <c r="AR120" i="4"/>
  <c r="AQ120" i="4"/>
  <c r="AR97" i="4"/>
  <c r="AQ97" i="4"/>
  <c r="AQ268" i="4"/>
  <c r="AR268" i="4"/>
  <c r="AQ267" i="4"/>
  <c r="AR267" i="4"/>
  <c r="AR201" i="4"/>
  <c r="AQ201" i="4"/>
  <c r="AQ317" i="4"/>
  <c r="AR317" i="4"/>
  <c r="AQ126" i="4"/>
  <c r="AR126" i="4"/>
  <c r="AQ354" i="4"/>
  <c r="AR354" i="4"/>
  <c r="AR508" i="4"/>
  <c r="AQ508" i="4"/>
  <c r="AR313" i="4"/>
  <c r="AQ313" i="4"/>
  <c r="AR563" i="4"/>
  <c r="AQ563" i="4"/>
  <c r="AQ79" i="4"/>
  <c r="AR79" i="4"/>
  <c r="AQ375" i="4"/>
  <c r="AR375" i="4"/>
  <c r="AG41" i="4"/>
  <c r="S21" i="4" s="1"/>
  <c r="Y41" i="4"/>
  <c r="AR159" i="4"/>
  <c r="AQ159" i="4"/>
  <c r="AQ132" i="4"/>
  <c r="AR132" i="4"/>
  <c r="AR226" i="4"/>
  <c r="AQ226" i="4"/>
  <c r="AR457" i="4"/>
  <c r="AQ457" i="4"/>
  <c r="AR396" i="4"/>
  <c r="AQ396" i="4"/>
  <c r="AR446" i="4"/>
  <c r="AQ446" i="4"/>
  <c r="AR580" i="4"/>
  <c r="AQ580" i="4"/>
  <c r="AR73" i="4"/>
  <c r="AQ73" i="4"/>
  <c r="AR241" i="4"/>
  <c r="AQ241" i="4"/>
  <c r="AR332" i="4"/>
  <c r="AQ332" i="4"/>
  <c r="AQ139" i="4"/>
  <c r="AR139" i="4"/>
  <c r="AR255" i="4"/>
  <c r="AQ255" i="4"/>
  <c r="AR560" i="4"/>
  <c r="AQ560" i="4"/>
  <c r="AQ459" i="4"/>
  <c r="AR459" i="4"/>
  <c r="AR149" i="4"/>
  <c r="AQ149" i="4"/>
  <c r="AR231" i="4"/>
  <c r="AQ231" i="4"/>
  <c r="AQ555" i="4"/>
  <c r="AR555" i="4"/>
  <c r="AR216" i="4"/>
  <c r="AQ216" i="4"/>
  <c r="AR207" i="4"/>
  <c r="AQ207" i="4"/>
  <c r="AR499" i="4"/>
  <c r="AQ499" i="4"/>
  <c r="AQ296" i="4"/>
  <c r="AR296" i="4"/>
  <c r="AR223" i="4"/>
  <c r="AQ223" i="4"/>
  <c r="AR53" i="4"/>
  <c r="AQ53" i="4"/>
  <c r="AR116" i="4"/>
  <c r="AQ116" i="4"/>
  <c r="AQ144" i="4"/>
  <c r="AR144" i="4"/>
  <c r="AR527" i="4"/>
  <c r="AQ527" i="4"/>
  <c r="AR488" i="4"/>
  <c r="AQ488" i="4"/>
  <c r="AR193" i="4"/>
  <c r="AQ193" i="4"/>
  <c r="AB41" i="4"/>
  <c r="AB26" i="4" s="1"/>
  <c r="AR131" i="4"/>
  <c r="AQ131" i="4"/>
  <c r="AQ355" i="4"/>
  <c r="AR355" i="4"/>
  <c r="AR76" i="4"/>
  <c r="AQ76" i="4"/>
  <c r="AR383" i="4"/>
  <c r="AQ383" i="4"/>
  <c r="AQ54" i="4"/>
  <c r="AR54" i="4"/>
  <c r="AR319" i="4"/>
  <c r="AQ319" i="4"/>
  <c r="AR594" i="4"/>
  <c r="AQ594" i="4"/>
  <c r="AR129" i="4"/>
  <c r="AQ129" i="4"/>
  <c r="AR380" i="4"/>
  <c r="AQ380" i="4"/>
  <c r="AR154" i="4"/>
  <c r="AQ154" i="4"/>
  <c r="AR321" i="4"/>
  <c r="AQ321" i="4"/>
  <c r="AR470" i="4"/>
  <c r="AQ470" i="4"/>
  <c r="AR203" i="4"/>
  <c r="AQ203" i="4"/>
  <c r="AR259" i="4"/>
  <c r="AQ259" i="4"/>
  <c r="AQ476" i="4"/>
  <c r="AR476" i="4"/>
  <c r="AR434" i="4"/>
  <c r="AQ434" i="4"/>
  <c r="AR521" i="4"/>
  <c r="AQ521" i="4"/>
  <c r="AR147" i="4"/>
  <c r="AQ147" i="4"/>
  <c r="AQ291" i="4"/>
  <c r="AR291" i="4"/>
  <c r="AR384" i="4"/>
  <c r="AQ384" i="4"/>
  <c r="AR407" i="4"/>
  <c r="AQ407" i="4"/>
  <c r="AQ370" i="4"/>
  <c r="AR370" i="4"/>
  <c r="AR561" i="4"/>
  <c r="AQ561" i="4"/>
  <c r="AR472" i="4"/>
  <c r="AQ472" i="4"/>
  <c r="AR325" i="4"/>
  <c r="AQ325" i="4"/>
  <c r="D5" i="20"/>
  <c r="D6" i="20" s="1"/>
  <c r="D7" i="20"/>
  <c r="D12" i="20" s="1"/>
  <c r="AQ507" i="4"/>
  <c r="AR507" i="4"/>
  <c r="AR554" i="4"/>
  <c r="AQ554" i="4"/>
  <c r="AR329" i="4"/>
  <c r="AQ329" i="4"/>
  <c r="AR77" i="4"/>
  <c r="AQ77" i="4"/>
  <c r="AR101" i="4"/>
  <c r="AQ101" i="4"/>
  <c r="AR368" i="4"/>
  <c r="AQ368" i="4"/>
  <c r="AR475" i="4"/>
  <c r="AQ475" i="4"/>
  <c r="AQ483" i="4"/>
  <c r="AR483" i="4"/>
  <c r="AR414" i="4"/>
  <c r="AQ414" i="4"/>
  <c r="AR410" i="4"/>
  <c r="AQ410" i="4"/>
  <c r="AR390" i="4"/>
  <c r="AQ390" i="4"/>
  <c r="AR258" i="4"/>
  <c r="AQ258" i="4"/>
  <c r="AR586" i="4"/>
  <c r="AQ586" i="4"/>
  <c r="AQ283" i="4"/>
  <c r="AR283" i="4"/>
  <c r="AR304" i="4"/>
  <c r="AQ304" i="4"/>
  <c r="AR142" i="4"/>
  <c r="AQ142" i="4"/>
  <c r="AR535" i="4"/>
  <c r="AQ535" i="4"/>
  <c r="AR497" i="4"/>
  <c r="AQ497" i="4"/>
  <c r="AR75" i="4"/>
  <c r="AQ75" i="4"/>
  <c r="AQ531" i="4"/>
  <c r="AR531" i="4"/>
  <c r="AR112" i="4"/>
  <c r="AQ112" i="4"/>
  <c r="AR351" i="4"/>
  <c r="AQ351" i="4"/>
  <c r="AR448" i="4"/>
  <c r="AQ448" i="4"/>
  <c r="AQ427" i="4"/>
  <c r="AR427" i="4"/>
  <c r="AR504" i="4"/>
  <c r="AQ504" i="4"/>
  <c r="AQ63" i="4"/>
  <c r="AR63" i="4"/>
  <c r="AR441" i="4"/>
  <c r="AQ441" i="4"/>
  <c r="AQ55" i="4"/>
  <c r="AR55" i="4"/>
  <c r="AQ277" i="4"/>
  <c r="AR277" i="4"/>
  <c r="AR192" i="4"/>
  <c r="AQ192" i="4"/>
  <c r="AQ397" i="4"/>
  <c r="AR397" i="4"/>
  <c r="AQ445" i="4"/>
  <c r="AR445" i="4"/>
  <c r="AR84" i="4"/>
  <c r="AQ84" i="4"/>
  <c r="AR388" i="4"/>
  <c r="AQ388" i="4"/>
  <c r="AR569" i="4"/>
  <c r="AQ569" i="4"/>
  <c r="AR117" i="4"/>
  <c r="AQ117" i="4"/>
  <c r="AQ301" i="4"/>
  <c r="AR301" i="4"/>
  <c r="AR426" i="4"/>
  <c r="AQ426" i="4"/>
  <c r="AR240" i="4"/>
  <c r="AQ240" i="4"/>
  <c r="AR85" i="4"/>
  <c r="AQ85" i="4"/>
  <c r="AQ285" i="4"/>
  <c r="AR285" i="4"/>
  <c r="AR118" i="4"/>
  <c r="AQ118" i="4"/>
  <c r="AR202" i="4"/>
  <c r="AQ202" i="4"/>
  <c r="AR326" i="4"/>
  <c r="AQ326" i="4"/>
  <c r="AR458" i="4"/>
  <c r="AQ458" i="4"/>
  <c r="AR503" i="4"/>
  <c r="AQ503" i="4"/>
  <c r="AR344" i="4"/>
  <c r="AQ344" i="4"/>
  <c r="AQ385" i="4"/>
  <c r="AR385" i="4"/>
  <c r="AR56" i="4"/>
  <c r="AQ56" i="4"/>
  <c r="AR99" i="4"/>
  <c r="AQ99" i="4"/>
  <c r="AR98" i="4"/>
  <c r="AQ98" i="4"/>
  <c r="AR266" i="4"/>
  <c r="AQ266" i="4"/>
  <c r="AR417" i="4"/>
  <c r="AQ417" i="4"/>
  <c r="AQ349" i="4"/>
  <c r="AR349" i="4"/>
  <c r="AR468" i="4"/>
  <c r="AQ468" i="4"/>
  <c r="AQ565" i="4"/>
  <c r="AR565" i="4"/>
  <c r="AQ371" i="4"/>
  <c r="AR371" i="4"/>
  <c r="AR298" i="4"/>
  <c r="AQ298" i="4"/>
  <c r="AQ377" i="4"/>
  <c r="AR377" i="4"/>
  <c r="AQ315" i="4"/>
  <c r="AR315" i="4"/>
  <c r="AR566" i="4"/>
  <c r="AQ566" i="4"/>
  <c r="AQ307" i="4"/>
  <c r="AR307" i="4"/>
  <c r="AR578" i="4"/>
  <c r="AQ578" i="4"/>
  <c r="AR466" i="4"/>
  <c r="AQ466" i="4"/>
  <c r="AR419" i="4"/>
  <c r="AQ419" i="4"/>
  <c r="AR300" i="4"/>
  <c r="AQ300" i="4"/>
  <c r="AR391" i="4"/>
  <c r="AQ391" i="4"/>
  <c r="AR465" i="4"/>
  <c r="AQ465" i="4"/>
  <c r="AR155" i="4"/>
  <c r="AQ155" i="4"/>
  <c r="AR381" i="4"/>
  <c r="AQ381" i="4"/>
  <c r="AR191" i="4"/>
  <c r="AQ191" i="4"/>
  <c r="AQ276" i="4"/>
  <c r="AR276" i="4"/>
  <c r="AQ461" i="4"/>
  <c r="AR461" i="4"/>
  <c r="AQ452" i="4"/>
  <c r="AR452" i="4"/>
  <c r="AR496" i="4"/>
  <c r="AQ496" i="4"/>
  <c r="AR401" i="4"/>
  <c r="AQ401" i="4"/>
  <c r="AQ111" i="4"/>
  <c r="AR111" i="4"/>
  <c r="AR130" i="4"/>
  <c r="AQ130" i="4"/>
  <c r="AR312" i="4"/>
  <c r="AQ312" i="4"/>
  <c r="AR346" i="4"/>
  <c r="AQ346" i="4"/>
  <c r="AQ247" i="4"/>
  <c r="AR247" i="4"/>
  <c r="AR90" i="4"/>
  <c r="AQ90" i="4"/>
  <c r="AR449" i="4"/>
  <c r="AQ449" i="4"/>
  <c r="AR570" i="4"/>
  <c r="AQ570" i="4"/>
  <c r="AQ485" i="4"/>
  <c r="AR485" i="4"/>
  <c r="AR568" i="4"/>
  <c r="AQ568" i="4"/>
  <c r="AR83" i="4"/>
  <c r="AQ83" i="4"/>
  <c r="AQ211" i="4"/>
  <c r="AR211" i="4"/>
  <c r="AQ533" i="4"/>
  <c r="AR533" i="4"/>
  <c r="AR418" i="4"/>
  <c r="AQ418" i="4"/>
  <c r="AQ587" i="4"/>
  <c r="AR587" i="4"/>
  <c r="AQ103" i="4"/>
  <c r="AR103" i="4"/>
  <c r="AQ536" i="4"/>
  <c r="AR536" i="4"/>
  <c r="AR577" i="4"/>
  <c r="AQ577" i="4"/>
  <c r="AR88" i="4"/>
  <c r="AQ88" i="4"/>
  <c r="AQ311" i="4"/>
  <c r="AR311" i="4"/>
  <c r="AR228" i="4"/>
  <c r="AQ228" i="4"/>
  <c r="AR299" i="4"/>
  <c r="AQ299" i="4"/>
  <c r="AR243" i="4"/>
  <c r="AQ243" i="4"/>
  <c r="AQ539" i="4"/>
  <c r="AR539" i="4"/>
  <c r="AR546" i="4"/>
  <c r="AQ546" i="4"/>
  <c r="AR279" i="4"/>
  <c r="AQ279" i="4"/>
  <c r="AR250" i="4"/>
  <c r="AQ250" i="4"/>
  <c r="AQ208" i="4"/>
  <c r="AR208" i="4"/>
  <c r="AQ430" i="4"/>
  <c r="AR430" i="4"/>
  <c r="AR215" i="4"/>
  <c r="AQ215" i="4"/>
  <c r="AR134" i="4"/>
  <c r="AQ134" i="4"/>
  <c r="AR416" i="4"/>
  <c r="AQ416" i="4"/>
  <c r="AR514" i="4"/>
  <c r="AQ514" i="4"/>
  <c r="AQ133" i="4"/>
  <c r="AR133" i="4"/>
  <c r="AQ156" i="4"/>
  <c r="AR156" i="4"/>
  <c r="AQ411" i="4"/>
  <c r="AR411" i="4"/>
  <c r="AR360" i="4"/>
  <c r="AQ360" i="4"/>
  <c r="AQ309" i="4"/>
  <c r="AR309" i="4"/>
  <c r="AR552" i="4"/>
  <c r="AQ552" i="4"/>
  <c r="AR272" i="4"/>
  <c r="AQ272" i="4"/>
  <c r="AQ180" i="4"/>
  <c r="AR180" i="4"/>
  <c r="AR186" i="4"/>
  <c r="AQ186" i="4"/>
  <c r="AR170" i="4"/>
  <c r="AQ170" i="4"/>
  <c r="AQ176" i="4"/>
  <c r="AR176" i="4"/>
  <c r="AR175" i="4"/>
  <c r="AQ175" i="4"/>
  <c r="AR184" i="4"/>
  <c r="AQ184" i="4"/>
  <c r="AR169" i="4"/>
  <c r="AQ169" i="4"/>
  <c r="AR167" i="4"/>
  <c r="AQ167" i="4"/>
  <c r="AQ183" i="4"/>
  <c r="AR183" i="4"/>
  <c r="AR188" i="4"/>
  <c r="AQ188" i="4"/>
  <c r="AR165" i="4"/>
  <c r="AQ165" i="4"/>
  <c r="AR189" i="4"/>
  <c r="AQ189" i="4"/>
  <c r="AQ181" i="4"/>
  <c r="AR181" i="4"/>
  <c r="AR177" i="4"/>
  <c r="AQ177" i="4"/>
  <c r="AR173" i="4"/>
  <c r="AQ173" i="4"/>
  <c r="AR179" i="4"/>
  <c r="AQ179" i="4"/>
  <c r="AQ164" i="4"/>
  <c r="AR164" i="4"/>
  <c r="AQ172" i="4"/>
  <c r="AR172" i="4"/>
  <c r="E2" i="18"/>
  <c r="C4" i="20"/>
  <c r="R24" i="4"/>
  <c r="AP37" i="4"/>
  <c r="AP30" i="4"/>
  <c r="Q22" i="4"/>
  <c r="AO45" i="4"/>
  <c r="AN45" i="4"/>
  <c r="AN37" i="4"/>
  <c r="AO37" i="4"/>
  <c r="AN47" i="4"/>
  <c r="AO47" i="4"/>
  <c r="AO35" i="4"/>
  <c r="AN35" i="4"/>
  <c r="AO30" i="4"/>
  <c r="AN30" i="4"/>
  <c r="AO49" i="4"/>
  <c r="AN49" i="4"/>
  <c r="AN43" i="4"/>
  <c r="AO43" i="4"/>
  <c r="AO38" i="4"/>
  <c r="AN38" i="4"/>
  <c r="AO34" i="4"/>
  <c r="AN34" i="4"/>
  <c r="AO51" i="4"/>
  <c r="AN51" i="4"/>
  <c r="AO46" i="4"/>
  <c r="AN46" i="4"/>
  <c r="AO42" i="4"/>
  <c r="AN42" i="4"/>
  <c r="AO33" i="4"/>
  <c r="AN33" i="4"/>
  <c r="AO48" i="4"/>
  <c r="AN48" i="4"/>
  <c r="AO36" i="4"/>
  <c r="AN36" i="4"/>
  <c r="AO50" i="4"/>
  <c r="AN50" i="4"/>
  <c r="AN44" i="4"/>
  <c r="AO44" i="4"/>
  <c r="AN31" i="4"/>
  <c r="AO31" i="4"/>
  <c r="AO32" i="4"/>
  <c r="AN32" i="4"/>
  <c r="AO40" i="4"/>
  <c r="AN40" i="4"/>
  <c r="AO39" i="4"/>
  <c r="AN39" i="4"/>
  <c r="AR28" i="4"/>
  <c r="AQ28" i="4"/>
  <c r="C13" i="13"/>
  <c r="L2" i="18"/>
  <c r="E4" i="13"/>
  <c r="E9" i="13" s="1"/>
  <c r="S22" i="4" l="1"/>
  <c r="S23" i="4" s="1"/>
  <c r="S24" i="4" s="1"/>
  <c r="S19" i="4"/>
  <c r="D19" i="20" s="1"/>
  <c r="AA40" i="4"/>
  <c r="AL39" i="4"/>
  <c r="AP41" i="4"/>
  <c r="AO41" i="4"/>
  <c r="AN41" i="4"/>
  <c r="Z41" i="4"/>
  <c r="X25" i="4"/>
  <c r="B2" i="18" s="1"/>
  <c r="Q23" i="4"/>
  <c r="Q24" i="4" s="1"/>
  <c r="AQ39" i="4"/>
  <c r="AR39" i="4"/>
  <c r="AR32" i="4"/>
  <c r="AQ32" i="4"/>
  <c r="AR33" i="4"/>
  <c r="AQ33" i="4"/>
  <c r="AQ46" i="4"/>
  <c r="AR46" i="4"/>
  <c r="AR50" i="4"/>
  <c r="AQ50" i="4"/>
  <c r="AR38" i="4"/>
  <c r="AQ38" i="4"/>
  <c r="AQ31" i="4"/>
  <c r="AR31" i="4"/>
  <c r="AR30" i="4"/>
  <c r="AQ30" i="4"/>
  <c r="AR37" i="4"/>
  <c r="AQ37" i="4"/>
  <c r="AR40" i="4"/>
  <c r="AQ40" i="4"/>
  <c r="AR35" i="4"/>
  <c r="AQ35" i="4"/>
  <c r="AR42" i="4"/>
  <c r="AQ42" i="4"/>
  <c r="AR44" i="4"/>
  <c r="AQ44" i="4"/>
  <c r="AR34" i="4"/>
  <c r="AQ34" i="4"/>
  <c r="AR51" i="4"/>
  <c r="AQ51" i="4"/>
  <c r="AR43" i="4"/>
  <c r="AQ43" i="4"/>
  <c r="AR36" i="4"/>
  <c r="AQ36" i="4"/>
  <c r="AR48" i="4"/>
  <c r="AQ48" i="4"/>
  <c r="AR49" i="4"/>
  <c r="AQ49" i="4"/>
  <c r="AQ47" i="4"/>
  <c r="AR47" i="4"/>
  <c r="AR45" i="4"/>
  <c r="AQ45" i="4"/>
  <c r="C14" i="13"/>
  <c r="C10" i="13"/>
  <c r="C15" i="13"/>
  <c r="C6" i="13"/>
  <c r="C5" i="13"/>
  <c r="C11" i="13"/>
  <c r="C4" i="13"/>
  <c r="C7" i="13"/>
  <c r="C8" i="13"/>
  <c r="U22" i="4"/>
  <c r="D4" i="20" l="1"/>
  <c r="AL41" i="4"/>
  <c r="X21" i="4" s="1"/>
  <c r="AA41" i="4"/>
  <c r="X26" i="4" s="1"/>
  <c r="AB23" i="4" s="1"/>
  <c r="X8" i="4"/>
  <c r="AQ41" i="4"/>
  <c r="AR41" i="4"/>
  <c r="X4" i="4"/>
  <c r="B4" i="20"/>
  <c r="U23" i="4"/>
  <c r="F12" i="13"/>
  <c r="F13" i="13"/>
  <c r="C9" i="13"/>
  <c r="C3" i="13"/>
  <c r="I3" i="13"/>
  <c r="G3" i="13"/>
  <c r="H3" i="13"/>
  <c r="E3" i="13"/>
  <c r="D3" i="13"/>
  <c r="C16" i="13"/>
  <c r="B16" i="13"/>
  <c r="AB24" i="4" l="1"/>
  <c r="X18" i="4"/>
  <c r="X19" i="4" s="1"/>
  <c r="F4" i="20"/>
  <c r="U24" i="4"/>
  <c r="F14" i="13"/>
  <c r="F10" i="13"/>
  <c r="F11" i="13"/>
  <c r="F5" i="13"/>
  <c r="F6" i="13"/>
  <c r="F7" i="13"/>
  <c r="F8" i="13"/>
  <c r="F15" i="13"/>
  <c r="X3" i="4" l="1"/>
  <c r="H3" i="20" s="1"/>
  <c r="H10" i="20" s="1" a="1"/>
  <c r="H10" i="20" s="1"/>
  <c r="F4" i="13"/>
  <c r="F9" i="13" s="1"/>
  <c r="H7" i="20" l="1" a="1"/>
  <c r="H7" i="20" s="1"/>
  <c r="H5" i="20"/>
  <c r="H6" i="20" s="1"/>
  <c r="H17" i="20"/>
  <c r="H13" i="20"/>
  <c r="H16" i="20"/>
  <c r="H15" i="20"/>
  <c r="H14" i="20"/>
  <c r="H8" i="20" a="1"/>
  <c r="H8" i="20" s="1"/>
  <c r="H19" i="20"/>
  <c r="H11" i="20" a="1"/>
  <c r="H11" i="20" s="1"/>
  <c r="H9" i="20" a="1"/>
  <c r="H9" i="20" s="1"/>
  <c r="H18" i="20"/>
  <c r="F3" i="13"/>
  <c r="B17" i="13"/>
  <c r="B14" i="13"/>
  <c r="B15" i="13"/>
  <c r="B11" i="13"/>
  <c r="B6" i="13"/>
  <c r="B8" i="13"/>
  <c r="B5" i="13"/>
  <c r="B7" i="13"/>
  <c r="B10" i="13"/>
  <c r="B4" i="13"/>
  <c r="H12" i="20" l="1"/>
  <c r="B13" i="13"/>
  <c r="B9" i="13"/>
  <c r="B12" i="13"/>
  <c r="B3" i="13"/>
  <c r="D2" i="18"/>
  <c r="X20" i="4" l="1"/>
  <c r="X22" i="4" s="1"/>
  <c r="H4" i="20"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<sst xmlns="http://schemas.openxmlformats.org/spreadsheetml/2006/main" count="4881" uniqueCount="4275">
  <si>
    <t>2025 POWER SOURCE DISCLOSURE ANNUAL REPORT</t>
  </si>
  <si>
    <t>For the Year Ending December 31, 2025</t>
  </si>
  <si>
    <t>GENERAL INSTRUCTIONS</t>
  </si>
  <si>
    <t xml:space="preserve">Retail suppliers are required to use the posted template and are not allowed to make edits to this format. </t>
  </si>
  <si>
    <t>Please complete the Retail Supplier Name and contact information in column B below.</t>
  </si>
  <si>
    <t>RETAIL SUPPLIER NAME</t>
  </si>
  <si>
    <t>CONTACT INFORMATION</t>
  </si>
  <si>
    <t>NAME</t>
  </si>
  <si>
    <t>TITLE</t>
  </si>
  <si>
    <t>MAILING ADDRESS</t>
  </si>
  <si>
    <t>CITY, STATE, ZIP</t>
  </si>
  <si>
    <t>PHONE</t>
  </si>
  <si>
    <t>EMAIL</t>
  </si>
  <si>
    <t>WEBSITE URL FOR PCL POSTING</t>
  </si>
  <si>
    <t>Submit the Annual Report and signed Attestation in PDF format with the Excel version of the Annual Report to PSDprogram@energy.ca.gov.</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</si>
  <si>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t>
  </si>
  <si>
    <t>California Energy Commission's website.</t>
  </si>
  <si>
    <t>If you have questions, contact Power Source Disclosure (PSD) staff at PSDprogram@energy.ca.gov or (916) 639-0573.</t>
  </si>
  <si>
    <t>Version: April 2026</t>
  </si>
  <si>
    <r>
      <rPr>
        <b/>
        <sz val="28"/>
        <color rgb="FF000000"/>
        <rFont val="Arial"/>
        <family val="2"/>
      </rPr>
      <t xml:space="preserve">Instructions
</t>
    </r>
    <r>
      <rPr>
        <sz val="16"/>
        <color rgb="FF000000"/>
        <rFont val="Arial"/>
        <family val="2"/>
      </rPr>
      <t>1. Enter electricity portfolio names in cells Q27-V27, as needed.
2. Enter the megawatt hours (MWh) of retail sales associated with electricity portfolios in cells Q25-V25, as needed, and the MWh associated with other end uses in cell W25.
3. In the table beginning with cell A28, enter information about all specified purchases. All fields in white should be filled out. Fields in grey auto-populate as needed and should not be filled out.
4. Default loss factors will auto-populate based on resource location. Enter a custom loss factor if applicable. All custom loss factors require additional documentation.
5. If a resource’s losses are covered by the generation seller under contract, select “Yes” in the relevant cell in column M: “Specified Losses Covered by Seller?” 
6. For firmed-&amp;-shaped procurements specifically, enter all fields from step 3. Additionally, enter the EIA ID of the substitute power in the "EIA ID of Delivered Energy" field.
7. For firmed-&amp;-shaped procurements eligible for grandfathered GHG emissions, select "Yes" in the relevant field in column L: "Eligible for Firmed &amp; Shaped Grandfathering?"
8. Proxy EIA IDs for unspecified power and specified system mixes from asset-controlling suppliers have been provided. Enter "Unspecified Power", "BPA", or "Tacoma Power" as applicable.
9. Proxy EIA IDs for aggregated reporting of WAPA CVP or PCIA resources have been provided. Enter "CVP", "PCIA Solar", "PCIA Wind", "PCIA Eligible Hydro", or  "PCIA Large Hydro" as applicable.
10. Only unspecified imports purchased directly from a seller under contract or ACS unspecified power procurements must be entered as line items; any additional unspecified power is calculated automatically in individual electricity portfolio tables after all specified resources are allocated.
11. Allocate net MWhs procured to each electricity portfolio until the loads are balanced across each portfolio. If the total Net MWhs Procured exceeds the total retail sales of all portfolios, allocate only enough MWh to meet the retail sales of each portfolio.
12. If electricity portfolio loads are balanced and net MWhs remain, allocate net MWhs to cover losses in the column starting with cell X28. This will add new losses, resulting in a new net short of unmet load in Cell X26. For retail suppliers that want to cover 100% of their loss-adjusted load with specified procurements, continue allocating specified procurement in Column X until Cell X26 shows no unmet load.</t>
    </r>
  </si>
  <si>
    <r>
      <rPr>
        <b/>
        <sz val="18"/>
        <color rgb="FF000000"/>
        <rFont val="Arial"/>
        <family val="2"/>
      </rPr>
      <t xml:space="preserve">Resource and GHG Allocations
</t>
    </r>
    <r>
      <rPr>
        <b/>
        <sz val="20"/>
        <color rgb="FF000000"/>
        <rFont val="Arial"/>
        <family val="2"/>
      </rPr>
      <t>*</t>
    </r>
    <r>
      <rPr>
        <b/>
        <sz val="12"/>
        <color rgb="FF000000"/>
        <rFont val="Arial"/>
        <family val="2"/>
      </rPr>
      <t>indicates GHG figures are preliminary until the calculation of the annual unspecified power emissions factor</t>
    </r>
  </si>
  <si>
    <t>Power Sources and Emissions</t>
  </si>
  <si>
    <t>Other End Uses</t>
  </si>
  <si>
    <t>Losses</t>
  </si>
  <si>
    <t>Retail Sales, Other End Uses, Losses (MWh)</t>
  </si>
  <si>
    <t>Total Net Specified (MWh)</t>
  </si>
  <si>
    <t>Biomass &amp; Biogas</t>
  </si>
  <si>
    <t>Geothermal</t>
  </si>
  <si>
    <t>Eligible Hydroelectric</t>
  </si>
  <si>
    <t>Solar</t>
  </si>
  <si>
    <t>Wind</t>
  </si>
  <si>
    <t>Large Hydroelectric</t>
  </si>
  <si>
    <t>Nuclear</t>
  </si>
  <si>
    <t>Emerging Technologies</t>
  </si>
  <si>
    <t>Other</t>
  </si>
  <si>
    <t>Natural Gas</t>
  </si>
  <si>
    <t>Coal &amp; Petroleum</t>
  </si>
  <si>
    <t>Unspecified Power - ACS</t>
  </si>
  <si>
    <t>Unspecified Power - Direct Import</t>
  </si>
  <si>
    <t>Unspecified Power - Spot Market</t>
  </si>
  <si>
    <t>Unspecified Power - Total</t>
  </si>
  <si>
    <r>
      <t>Unspecified GHGs (MT CO</t>
    </r>
    <r>
      <rPr>
        <b/>
        <vertAlign val="subscript"/>
        <sz val="12"/>
        <color theme="1"/>
        <rFont val="Arial"/>
        <family val="2"/>
      </rPr>
      <t>2</t>
    </r>
    <r>
      <rPr>
        <b/>
        <sz val="12"/>
        <color theme="1"/>
        <rFont val="Arial"/>
        <family val="2"/>
      </rPr>
      <t>e)*</t>
    </r>
  </si>
  <si>
    <r>
      <t>Specified GHGs (MT CO</t>
    </r>
    <r>
      <rPr>
        <b/>
        <vertAlign val="subscript"/>
        <sz val="12"/>
        <color theme="1"/>
        <rFont val="Arial"/>
        <family val="2"/>
      </rPr>
      <t>2</t>
    </r>
    <r>
      <rPr>
        <b/>
        <sz val="12"/>
        <color theme="1"/>
        <rFont val="Arial"/>
        <family val="2"/>
      </rPr>
      <t>e)</t>
    </r>
  </si>
  <si>
    <r>
      <t>Total GHGs (MT CO</t>
    </r>
    <r>
      <rPr>
        <b/>
        <vertAlign val="subscript"/>
        <sz val="12"/>
        <color theme="1"/>
        <rFont val="Arial"/>
        <family val="2"/>
      </rPr>
      <t>2</t>
    </r>
    <r>
      <rPr>
        <b/>
        <sz val="12"/>
        <color theme="1"/>
        <rFont val="Arial"/>
        <family val="2"/>
      </rPr>
      <t>e)*</t>
    </r>
  </si>
  <si>
    <t>Checks</t>
  </si>
  <si>
    <t>Status</t>
  </si>
  <si>
    <r>
      <t>GHG Emissions Intensity (MT CO</t>
    </r>
    <r>
      <rPr>
        <b/>
        <vertAlign val="subscript"/>
        <sz val="12"/>
        <color theme="1"/>
        <rFont val="Arial"/>
        <family val="2"/>
      </rPr>
      <t>2</t>
    </r>
    <r>
      <rPr>
        <b/>
        <sz val="12"/>
        <color theme="1"/>
        <rFont val="Arial"/>
        <family val="2"/>
      </rPr>
      <t>e/MWh)*</t>
    </r>
  </si>
  <si>
    <t>-</t>
  </si>
  <si>
    <t>Portfolio and other end use allocations</t>
  </si>
  <si>
    <r>
      <t>PCL Emissions Intensity (lbs CO</t>
    </r>
    <r>
      <rPr>
        <b/>
        <vertAlign val="subscript"/>
        <sz val="12"/>
        <color theme="1"/>
        <rFont val="Arial"/>
        <family val="2"/>
      </rPr>
      <t>2</t>
    </r>
    <r>
      <rPr>
        <b/>
        <sz val="12"/>
        <color theme="1"/>
        <rFont val="Arial"/>
        <family val="2"/>
      </rPr>
      <t>e/MWh)*</t>
    </r>
  </si>
  <si>
    <t>Specified resources allocated</t>
  </si>
  <si>
    <t>Retail Sales, Other End Uses, Specified Losses</t>
  </si>
  <si>
    <t>Coal allocated</t>
  </si>
  <si>
    <t>Unmet Load (MWh)</t>
  </si>
  <si>
    <t>Oversupply not negative</t>
  </si>
  <si>
    <r>
      <t>PCL GHG Allocations (MT CO</t>
    </r>
    <r>
      <rPr>
        <b/>
        <vertAlign val="subscript"/>
        <sz val="12"/>
        <color rgb="FF000000"/>
        <rFont val="Arial"/>
        <family val="2"/>
      </rPr>
      <t>2</t>
    </r>
    <r>
      <rPr>
        <b/>
        <sz val="12"/>
        <color rgb="FF000000"/>
        <rFont val="Arial"/>
        <family val="2"/>
      </rPr>
      <t>e)</t>
    </r>
  </si>
  <si>
    <t>Oversupply</t>
  </si>
  <si>
    <t>Facility Name</t>
  </si>
  <si>
    <t>Fuel Type</t>
  </si>
  <si>
    <t>State or Province</t>
  </si>
  <si>
    <t>WREGIS ID of REC Source</t>
  </si>
  <si>
    <t>RPS ID of REC Source</t>
  </si>
  <si>
    <t>EIA ID of Delivered Energy</t>
  </si>
  <si>
    <t>Loss Factor</t>
  </si>
  <si>
    <t>Gross MWhs Procured</t>
  </si>
  <si>
    <t>Specified Resales MWhs</t>
  </si>
  <si>
    <t>Net MWhs Procured</t>
  </si>
  <si>
    <t>Firmed &amp; Shaped Resource?</t>
  </si>
  <si>
    <t>Eligible for Firmed &amp; Shaped Grandfathering?</t>
  </si>
  <si>
    <t>Specified Losses Covered by Seller?</t>
  </si>
  <si>
    <r>
      <t>Total EF 
(MT CO</t>
    </r>
    <r>
      <rPr>
        <vertAlign val="subscript"/>
        <sz val="12"/>
        <color theme="0"/>
        <rFont val="Arial"/>
        <family val="2"/>
      </rPr>
      <t>2</t>
    </r>
    <r>
      <rPr>
        <sz val="12"/>
        <color theme="0"/>
        <rFont val="Arial"/>
        <family val="2"/>
      </rPr>
      <t>e/MWh)</t>
    </r>
  </si>
  <si>
    <t xml:space="preserve">Total GHGs </t>
  </si>
  <si>
    <r>
      <t>PCL EF
(MT CO</t>
    </r>
    <r>
      <rPr>
        <vertAlign val="subscript"/>
        <sz val="12"/>
        <color theme="0"/>
        <rFont val="Arial"/>
        <family val="2"/>
      </rPr>
      <t>2</t>
    </r>
    <r>
      <rPr>
        <sz val="12"/>
        <color theme="0"/>
        <rFont val="Arial"/>
        <family val="2"/>
      </rPr>
      <t>e/MWh)</t>
    </r>
  </si>
  <si>
    <t>Electricity Portfolio Name 5</t>
  </si>
  <si>
    <t>Electricity Portfolio Name 6</t>
  </si>
  <si>
    <t>Specified Procurement Covering Losses</t>
  </si>
  <si>
    <t>Total Specified Losses</t>
  </si>
  <si>
    <t>Specified Losses Covered by Seller</t>
  </si>
  <si>
    <t>Remaining Specified Losses to Cover</t>
  </si>
  <si>
    <t>Remainder/Oversupply</t>
  </si>
  <si>
    <t>Other End Uses PCL GHGs</t>
  </si>
  <si>
    <t>Specified Procurement Covering Losses PCL GHGs</t>
  </si>
  <si>
    <t>Net Procurement</t>
  </si>
  <si>
    <t>Oversupply Losses</t>
  </si>
  <si>
    <r>
      <t>Annual PCL GHGs (MT CO</t>
    </r>
    <r>
      <rPr>
        <b/>
        <vertAlign val="subscript"/>
        <sz val="12"/>
        <color theme="0"/>
        <rFont val="Arial"/>
        <family val="2"/>
      </rPr>
      <t>2</t>
    </r>
    <r>
      <rPr>
        <b/>
        <sz val="12"/>
        <color theme="0"/>
        <rFont val="Arial"/>
        <family val="2"/>
      </rPr>
      <t>e)</t>
    </r>
  </si>
  <si>
    <t>2025 PCL Data*</t>
  </si>
  <si>
    <t>Emissions, Power Sources, Unbundled RECs</t>
  </si>
  <si>
    <t>Total Loss-Adjusted Load</t>
  </si>
  <si>
    <t>Retail Sales and Loss-Adjusted Load</t>
  </si>
  <si>
    <r>
      <t>GHG Emissions Intensity (lbs CO</t>
    </r>
    <r>
      <rPr>
        <b/>
        <vertAlign val="subscript"/>
        <sz val="12"/>
        <color theme="1"/>
        <rFont val="Arial"/>
        <family val="2"/>
      </rPr>
      <t>2</t>
    </r>
    <r>
      <rPr>
        <b/>
        <sz val="12"/>
        <color theme="1"/>
        <rFont val="Arial"/>
        <family val="2"/>
      </rPr>
      <t>e/MWh)</t>
    </r>
  </si>
  <si>
    <t xml:space="preserve">■ Renewables and Zero-Carbon Resources     </t>
  </si>
  <si>
    <t xml:space="preserve">■ Fossil Fuels  </t>
  </si>
  <si>
    <t>RPS Eligible Renewables - Subtotal</t>
  </si>
  <si>
    <t>Retail Sales Covered by Retired Unbundled RECs</t>
  </si>
  <si>
    <t>*NOTE: The figures above are preliminary.</t>
  </si>
  <si>
    <t>Staff will calculate the GHG emissions factor and fuel mix breakdown (percentage derived from renewables and zero-carbon resources or fossil fuels) of unspecified power after data from all reporting entities is submitted.</t>
  </si>
  <si>
    <t>Retail Supplier Name</t>
  </si>
  <si>
    <t>Total Retail Sales</t>
  </si>
  <si>
    <t>Net Specified Procurement</t>
  </si>
  <si>
    <t>Net Specified Renewables &amp; Zero-Carbon Resources</t>
  </si>
  <si>
    <t>Net Specified Renewables</t>
  </si>
  <si>
    <t>Net Specified Zero-Carbon</t>
  </si>
  <si>
    <t>Net Specified Fossil Fuels</t>
  </si>
  <si>
    <t>Net Specified Natural Gas</t>
  </si>
  <si>
    <t>Net Specified Coal &amp; Petroleum</t>
  </si>
  <si>
    <t>Net Specified Emerging Technologies and Other</t>
  </si>
  <si>
    <t>This is a plain text version of the power content label for XXX utility. It provides the greenhouse gas intensity and fuel source mix for each electricity portfolio offered to consumers by XXX utility, as well as the quantity of unbundled renewable energy credits associated with each portfolio. This file also includes statewide numbers for comparison.</t>
  </si>
  <si>
    <t>CA Utility Average</t>
  </si>
  <si>
    <t>Greenhouse Gas Emissions Intensity (lbs CO2e/MWh)</t>
  </si>
  <si>
    <t>Biomass and Biogas</t>
  </si>
  <si>
    <t>RPS-Eligible Hydroelectric</t>
  </si>
  <si>
    <t>RPS-Eligible Renewables Subtotal</t>
  </si>
  <si>
    <t>Unspecified Power</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</si>
  <si>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</si>
  <si>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</si>
  <si>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</si>
  <si>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t>Footnote: GHG intensity figures exclude biogenic CO2 and emissions from geothermal sources and grandfathered imports of firmed-and-shaped energy. For detailed information about all GHG emissions from California's retail electricity suppliers, visit the CEC link below.</t>
  </si>
  <si>
    <t>Footnote: Unspecified power is electricity purchased from a genericized pool on the open market.</t>
  </si>
  <si>
    <t xml:space="preserve">Want to learn more? Visit the following links: </t>
  </si>
  <si>
    <t>https://www.energy.ca.gov/pcl</t>
  </si>
  <si>
    <t>Instructions</t>
  </si>
  <si>
    <t xml:space="preserve">1. In the table starting in cell A13, select the appropriate retail portfolio from the drop-down list in column A and enter the Facility Name, Fuel Type, State or Province, RPS ID, and Total Retired Unbundled RECs (in MWh) for each facility. </t>
  </si>
  <si>
    <t>TOTAL ALLOCATIONS</t>
  </si>
  <si>
    <t>Retail Portfolio</t>
  </si>
  <si>
    <t>Total Retired (in MWh)</t>
  </si>
  <si>
    <t>RETIRED UNBUNDLED RECS</t>
  </si>
  <si>
    <t xml:space="preserve">Facility Name </t>
  </si>
  <si>
    <t>RPS ID</t>
  </si>
  <si>
    <t>ASSET CONTROLLING SUPPLIER RESOURCE MIX CALCULATOR</t>
  </si>
  <si>
    <t>Instructions: Enter total net specified procurement of ACS system resources into cell B5 or B19</t>
  </si>
  <si>
    <t>In Column C, the calculator will determine quantities of resource-specific net procurement for entry on the Annual Data tab.</t>
  </si>
  <si>
    <t>Bonneville Power Administration</t>
  </si>
  <si>
    <t xml:space="preserve">Net MWh Procured: </t>
  </si>
  <si>
    <t>Resource Mix Factors</t>
  </si>
  <si>
    <t>Resource-Specific Procurements from BPA</t>
  </si>
  <si>
    <t xml:space="preserve">Solar </t>
  </si>
  <si>
    <t>Coal</t>
  </si>
  <si>
    <t>Tacoma Power</t>
  </si>
  <si>
    <t>Resource-Specific Procurements from Tacoma Power</t>
  </si>
  <si>
    <t>This Secondary Losses Adjustment Calculator is used for alternative loss factors (rather than the default loss factors). The calculator adjusts a generator-based loss factor so that it calculates primary and secondary losses. Enter the generator-based loss factor in cell B7 to get the adjusted loss factor in cell B8.</t>
  </si>
  <si>
    <t>Using the most recent EIA 861 data, line losses were calculated at 4.19% for in-state resources and 6.19% for imported resources. These values are based on Total Energy Supply, which includes Estimated Losses (this is a top-down calculation).</t>
  </si>
  <si>
    <t>That total supply-based loss factor must be converted to a loss factor that can be applied only to the generation matched to load, rather than total supply. The Calculation of Default Loss Factors section below provides the necessary calculations.</t>
  </si>
  <si>
    <r>
      <t>The corresponding bottom-up loss factors that will gross up load-matched resources to determine losses are</t>
    </r>
    <r>
      <rPr>
        <b/>
        <sz val="10"/>
        <color rgb="FF242424"/>
        <rFont val="Ariel"/>
      </rPr>
      <t xml:space="preserve"> 0.0437</t>
    </r>
    <r>
      <rPr>
        <sz val="10"/>
        <color rgb="FF242424"/>
        <rFont val="Ariel"/>
      </rPr>
      <t xml:space="preserve"> and</t>
    </r>
    <r>
      <rPr>
        <b/>
        <sz val="10"/>
        <color rgb="FF242424"/>
        <rFont val="Ariel"/>
      </rPr>
      <t xml:space="preserve"> 0.0660</t>
    </r>
    <r>
      <rPr>
        <sz val="10"/>
        <color rgb="FF242424"/>
        <rFont val="Ariel"/>
      </rPr>
      <t>, respectively. This conversion does not increase losses, which can be demonstrated below, as [Cell B14 x Cell B18] = [Cell B22 x Cell B23].</t>
    </r>
  </si>
  <si>
    <t>Secondary Losses Adjustment Calculator</t>
  </si>
  <si>
    <t>Generator-based loss factor</t>
  </si>
  <si>
    <t>Loss factor w/secondary losses</t>
  </si>
  <si>
    <t xml:space="preserve">Calculation of Default Loss Factors </t>
  </si>
  <si>
    <t>2024 EIA 861 Energy Disposition Breakdown</t>
  </si>
  <si>
    <t>MWh and Loss %</t>
  </si>
  <si>
    <t>In-state generation</t>
  </si>
  <si>
    <t>Imports</t>
  </si>
  <si>
    <t>Total Supply</t>
  </si>
  <si>
    <t>Estimated Losses (in-state)</t>
  </si>
  <si>
    <t>In-state loss %</t>
  </si>
  <si>
    <t>Out of state loss % (+.02)</t>
  </si>
  <si>
    <t>Default in-state loss factor for total supply</t>
  </si>
  <si>
    <t>In-state generation matched to load</t>
  </si>
  <si>
    <t>Default loss factor applied to load-matched in-state resources</t>
  </si>
  <si>
    <t>Default import loss factor for total supply</t>
  </si>
  <si>
    <t>Imported generation matched to load</t>
  </si>
  <si>
    <t>Default loss factor applied to load-matched out-of-state resources</t>
  </si>
  <si>
    <t>EIA ID</t>
  </si>
  <si>
    <r>
      <t>Total EFs (MT CO</t>
    </r>
    <r>
      <rPr>
        <vertAlign val="subscript"/>
        <sz val="11"/>
        <color theme="0"/>
        <rFont val="Arial"/>
        <family val="2"/>
      </rPr>
      <t>2</t>
    </r>
    <r>
      <rPr>
        <sz val="11"/>
        <color theme="0"/>
        <rFont val="Arial"/>
        <family val="2"/>
      </rPr>
      <t>e/MWh</t>
    </r>
  </si>
  <si>
    <r>
      <t>EFs for PCL Disclosure (MT CO</t>
    </r>
    <r>
      <rPr>
        <vertAlign val="subscript"/>
        <sz val="11"/>
        <color theme="0"/>
        <rFont val="Arial"/>
        <family val="2"/>
      </rPr>
      <t>2</t>
    </r>
    <r>
      <rPr>
        <sz val="11"/>
        <color theme="0"/>
        <rFont val="Arial"/>
        <family val="2"/>
      </rPr>
      <t>e/MWh</t>
    </r>
  </si>
  <si>
    <t>Bonneville Power Administration (Asset-Controlling Supplier)</t>
  </si>
  <si>
    <t>BPA</t>
  </si>
  <si>
    <t>Tacoma Power (Asset-Controlling Supplier)</t>
  </si>
  <si>
    <t>WAPA Central Valley Project (aggregated resources)</t>
  </si>
  <si>
    <t>CVP</t>
  </si>
  <si>
    <t>PCIA Solar (aggregated resources)</t>
  </si>
  <si>
    <t>PCIA Solar</t>
  </si>
  <si>
    <t>PCIA Wind (aggregated resources)</t>
  </si>
  <si>
    <t>PCIA Wind</t>
  </si>
  <si>
    <t>PCIA Eligible Hydro (aggregated resources)</t>
  </si>
  <si>
    <t>PCIA Eligible Hydro</t>
  </si>
  <si>
    <t>PCIA Large Hydro (aggregated resources)</t>
  </si>
  <si>
    <t>PCIA Large Hydro</t>
  </si>
  <si>
    <t>Burney Forest Products</t>
  </si>
  <si>
    <t>HL Power Company LP</t>
  </si>
  <si>
    <t>Miramar - MM and Miramar Energy</t>
  </si>
  <si>
    <t>Humboldt Sawmill Company</t>
  </si>
  <si>
    <t>Sierra Pacific Industries (SPI) - Burney</t>
  </si>
  <si>
    <t>Rio Bravo Rocklin</t>
  </si>
  <si>
    <t>Wadham Energy Ltd Partnership</t>
  </si>
  <si>
    <t>Waste Management - Altamont Landfill</t>
  </si>
  <si>
    <t>Brea Power Facility</t>
  </si>
  <si>
    <t>LACSD - Puente Hills Landfill</t>
  </si>
  <si>
    <t>MM Lopez Energy LLC</t>
  </si>
  <si>
    <t>Sierra Pacific Industries (SPI) - Anderson, 96007</t>
  </si>
  <si>
    <t>Sonoma County Landfill Gas to Energy</t>
  </si>
  <si>
    <t>Sacramento Municipal Utility District (SMUD) , Carson Power Plant</t>
  </si>
  <si>
    <t>Encina Water Pollution Control Facility</t>
  </si>
  <si>
    <t>Orange County Sanitation District - Plant 1</t>
  </si>
  <si>
    <t>Rio Bravo Fresno</t>
  </si>
  <si>
    <t>Shasta Sustainable Resource Management</t>
  </si>
  <si>
    <t>Sacramento Municipal Utility District (SMUD) , Cosumnes Power Plant</t>
  </si>
  <si>
    <t>Kiefer Landfill, Department of Waste Management and Recycling</t>
  </si>
  <si>
    <t>MM Yolo Power LLC</t>
  </si>
  <si>
    <t>Mt. Poso Cogeneration Company</t>
  </si>
  <si>
    <t>Collins Pine Co.</t>
  </si>
  <si>
    <t>Orange County Sanitation District - Plant 2</t>
  </si>
  <si>
    <t>Pacific Ultrapower Chinese</t>
  </si>
  <si>
    <t>LACSD - Calabasas Landfill</t>
  </si>
  <si>
    <t>Monterey Regional Waste Management District</t>
  </si>
  <si>
    <t>Sierra Pacific Industries (SPI) - Quincy Division</t>
  </si>
  <si>
    <t>MM West Covina LLC</t>
  </si>
  <si>
    <t>LACSD - A.K. Warren Water Resource Facility</t>
  </si>
  <si>
    <t>Woodland Biomass Power, LLC</t>
  </si>
  <si>
    <t>East Bay Municipal Utility District</t>
  </si>
  <si>
    <t>City of San Diego, Public Utilities Dept, Point Loma Treatment Plant</t>
  </si>
  <si>
    <t>Ameresco Santa Cruz</t>
  </si>
  <si>
    <t>Ameresco Half Moon Bay</t>
  </si>
  <si>
    <t>Sierra Pacific Industries (SPI) - Lincoln</t>
  </si>
  <si>
    <t>Sierra Pacific Industries (SPI) - Sonora</t>
  </si>
  <si>
    <t>G2 Energy Ostrom Road, LLC</t>
  </si>
  <si>
    <t>Sycamore Energy LLC</t>
  </si>
  <si>
    <t>Roseburg Forest Products</t>
  </si>
  <si>
    <t>Energy 2001, Placer WRSL</t>
  </si>
  <si>
    <t>Ameresco Keller Canyon</t>
  </si>
  <si>
    <t>Ameresco Chiquita Energy LLC</t>
  </si>
  <si>
    <t>DTE Stockton, LLC</t>
  </si>
  <si>
    <t>GenPower Lincoln Landfill Power Plant</t>
  </si>
  <si>
    <t>Sunshine Gas Producers, LLC</t>
  </si>
  <si>
    <t>Ameresco Vasco Road</t>
  </si>
  <si>
    <t>Ameresco San Joaquin LLC</t>
  </si>
  <si>
    <t>Ameresco Forward LLC</t>
  </si>
  <si>
    <t>Bowerman Power LFG, LLC</t>
  </si>
  <si>
    <t>Potrero Hills Energy Producers, LLC</t>
  </si>
  <si>
    <t>Hyperion Water Reclamation Plant</t>
  </si>
  <si>
    <t>Waste Management - Redwood Landfill, Inc.</t>
  </si>
  <si>
    <t>Abel Road Bioenergy</t>
  </si>
  <si>
    <t>Searles Valley Minerals Inc.</t>
  </si>
  <si>
    <t>University of California, Santa Cruz, UCSC EH&amp;S Office</t>
  </si>
  <si>
    <t>Southeast Resource Recovery Facility (SERRF)</t>
  </si>
  <si>
    <t>Turlock Irrigation District (TID), Almond Power Plant</t>
  </si>
  <si>
    <t>Sacramento Municipal Utility District (SMUD) , Campbell Power Plant</t>
  </si>
  <si>
    <t>Air Products Wilmington Hydrogen Plant</t>
  </si>
  <si>
    <t>Carson Hybrid Energy Storage LLC</t>
  </si>
  <si>
    <t>California State University, San Jose</t>
  </si>
  <si>
    <t>Chevron Products Company - El Segundo Refinery, 90245</t>
  </si>
  <si>
    <t>Double C Limited</t>
  </si>
  <si>
    <t>Imperial Irrigation District (IID), El Centro Generating Station</t>
  </si>
  <si>
    <t>El Segundo Energy Center, LLC</t>
  </si>
  <si>
    <t>Calpine - Gilroy Cogen, L.P., Gilroy Cogen_Peaker</t>
  </si>
  <si>
    <t>Pasadena Water and Power, Glenarm</t>
  </si>
  <si>
    <t>Grayson Power Plant</t>
  </si>
  <si>
    <t>ProEnergy - Greenleaf Energy Unit 2, LLC</t>
  </si>
  <si>
    <t>Los Angeles Department of Water &amp; Power-Harbor Generating Station (LADWP)</t>
  </si>
  <si>
    <t>Harbor Cogeneration Company, LLC</t>
  </si>
  <si>
    <t>Los Angeles Department of Water &amp; Power-Haynes Generating Station (LADWP)</t>
  </si>
  <si>
    <t>High Sierra Limited</t>
  </si>
  <si>
    <t>PG&amp;E Humboldt Bay Generating Station</t>
  </si>
  <si>
    <t>AES Huntington Beach, LLC</t>
  </si>
  <si>
    <t>New-Indy Ontario, LLC Linerboard Mill</t>
  </si>
  <si>
    <t>KES Kingsburg L.P.--Kingsburg Cogeneration Facility</t>
  </si>
  <si>
    <t>Kern Front Limited</t>
  </si>
  <si>
    <t>Loma Linda University</t>
  </si>
  <si>
    <t>Long Beach Generating Station</t>
  </si>
  <si>
    <t>Midway-Sunset Cogeneration</t>
  </si>
  <si>
    <t>Torrance Refinery</t>
  </si>
  <si>
    <t>Moss Landing Power Plant</t>
  </si>
  <si>
    <t>Camchino Leasing LLC</t>
  </si>
  <si>
    <t>Sacramento Municipal Utility District (SMUD) , Procter &amp; Gamble Power Plant</t>
  </si>
  <si>
    <t>Redding Electric Utility - Redding Power Generation</t>
  </si>
  <si>
    <t>Eco Services - Martinez</t>
  </si>
  <si>
    <t>Eco Services - Dominguez</t>
  </si>
  <si>
    <t>SRI International Cogen Project</t>
  </si>
  <si>
    <t>McKittrick Limited</t>
  </si>
  <si>
    <t>U.S. Borax, 93516</t>
  </si>
  <si>
    <t>Phillips 66 Company - San Francisco Refinery</t>
  </si>
  <si>
    <t>Malburg Generating Station</t>
  </si>
  <si>
    <t>Yuba City Cogeneration Partners LP</t>
  </si>
  <si>
    <t>California Institute of Technology (CalTech)</t>
  </si>
  <si>
    <t>Phillips 66 Company - Los Angeles Refinery - Wilmington Plant</t>
  </si>
  <si>
    <t>Calpine - Gilroy Energy Center, LLC, Feather River</t>
  </si>
  <si>
    <t>Calpine - Los Medanos Energy Center, LLC</t>
  </si>
  <si>
    <t>La Paloma Generating Plant - GHG</t>
  </si>
  <si>
    <t>Blythe Energy</t>
  </si>
  <si>
    <t>Calpine - Metcalf Energy Center, LLC</t>
  </si>
  <si>
    <t>Southern California Edison (SCE) - Mountainview</t>
  </si>
  <si>
    <t>Calpine - Pastoria Energy Facility L.L.C.</t>
  </si>
  <si>
    <t>Larkspur Energy, LLC</t>
  </si>
  <si>
    <t>Tracy Combined Cycle Plant</t>
  </si>
  <si>
    <t>SDG&amp;E - Palomar Energy Center</t>
  </si>
  <si>
    <t>California Power Holdings, LLC-Red Bluff Facility, 96080</t>
  </si>
  <si>
    <t>Turlock Irrigation District/ Walnut Energy Center</t>
  </si>
  <si>
    <t>Valero Refining Company - California, Benicia Refinery and Benicia Asphalt Plant</t>
  </si>
  <si>
    <t>CalPeak Power - Panoche, LLC</t>
  </si>
  <si>
    <t>CalPeak Power - Vaca Dixon, LLC</t>
  </si>
  <si>
    <t>Calpine - Goose Haven Energy Center, Peaker</t>
  </si>
  <si>
    <t>Riverside Public Utilities - Clearwater Facility</t>
  </si>
  <si>
    <t>Braun Medical Inc</t>
  </si>
  <si>
    <t>Riverside Public Utilities - Riverside Energy Resource Center</t>
  </si>
  <si>
    <t>Southern California Edison (SCE) - Mira Loma Peaker</t>
  </si>
  <si>
    <t>Coso Energy Developers (BLM E&amp;W) - Geothermal</t>
  </si>
  <si>
    <t>CalEnergy Operating Corporation - J J Elmore - Geothermal</t>
  </si>
  <si>
    <t>CalEnergy Operating Corporation - J M Leathers - Geothermal</t>
  </si>
  <si>
    <t>CalEnergy Operating Corporation - Region 1 - Geothermal</t>
  </si>
  <si>
    <t>CalEnergy Operating Corporation - Region 2 - Geothermal</t>
  </si>
  <si>
    <t>Sycamore Cogeneration Facility</t>
  </si>
  <si>
    <t>Bear Mountain Limited</t>
  </si>
  <si>
    <t>Shadow Wolf Energy - Placerita</t>
  </si>
  <si>
    <t>Badger Creek Limited</t>
  </si>
  <si>
    <t>Bridge Energy, LLC</t>
  </si>
  <si>
    <t>Martinez Refining Company LLC</t>
  </si>
  <si>
    <t>Sunrise Power Company</t>
  </si>
  <si>
    <t>University of California, Los Angeles, UCLA</t>
  </si>
  <si>
    <t>Los Angeles Department of Water &amp; Power-Scattergood Generating Station (LADWP)</t>
  </si>
  <si>
    <t>Central Contra Costa Sanitary District</t>
  </si>
  <si>
    <t>Modesto Irrigation District (MID) - Woodland Generation Station, 95351</t>
  </si>
  <si>
    <t>Live Oak Limited</t>
  </si>
  <si>
    <t>California Power Holdings, LLC-Chowchilla Facility, 95360</t>
  </si>
  <si>
    <t>San Jose/Santa Clara Regional Wastewater Facility</t>
  </si>
  <si>
    <t>Calpine - Los Esteros Critical Energy Facility, LLC</t>
  </si>
  <si>
    <t>MAGTFTC MCAGCC Twentynine Palms</t>
  </si>
  <si>
    <t>Calpine - Yuba City Energy Center (Gilroy Energy Center, LLC)</t>
  </si>
  <si>
    <t>Grade 6 Oil, LLC</t>
  </si>
  <si>
    <t>Spreckels Sugar Company, Inc.- Brawley</t>
  </si>
  <si>
    <t>Los Angeles Refinery (LAR)</t>
  </si>
  <si>
    <t>Chula Vista Energy Center</t>
  </si>
  <si>
    <t>Crockett Cogeneration Project, LP</t>
  </si>
  <si>
    <t>Covanta - Stanislaus, Inc</t>
  </si>
  <si>
    <t>Roseville Electric, Roseville Energy Park</t>
  </si>
  <si>
    <t>Luz Solar Partners LTD VIII &amp; IX</t>
  </si>
  <si>
    <t>University of California, Irvine</t>
  </si>
  <si>
    <t>Calpine - King City Cogen, LLC, King City Cogen_Peaker</t>
  </si>
  <si>
    <t>University of California, San Diego, UCSD</t>
  </si>
  <si>
    <t>Imperial Irrigation District (IID), Niland Gas Turbine Plant</t>
  </si>
  <si>
    <t>AES Alamitos, LLC</t>
  </si>
  <si>
    <t>Los Angeles International Airport (LAX)</t>
  </si>
  <si>
    <t>Los Angeles Department of Water &amp; Power-Valley Generating Station (LADWP)</t>
  </si>
  <si>
    <t>Martinez Renewable Fuel Facility</t>
  </si>
  <si>
    <t>Indigo Generation, LLC</t>
  </si>
  <si>
    <t>Oakland Power Plant</t>
  </si>
  <si>
    <t>E.F. Oxnard LLC</t>
  </si>
  <si>
    <t>New-Indy Oxnard LLC</t>
  </si>
  <si>
    <t>Ormond Beach Power, LLC</t>
  </si>
  <si>
    <t>Modesto Irrigation District - Ripon Generation Station, 95366</t>
  </si>
  <si>
    <t>Henrietta Peaker Plant</t>
  </si>
  <si>
    <t>Chevron Products Company - Richmond Refinery, 94802</t>
  </si>
  <si>
    <t>California State University, San Diego</t>
  </si>
  <si>
    <t>Qualcomm, Inc. - Morehouse Facility</t>
  </si>
  <si>
    <t>SDG&amp;E - Miramar Energy Facility</t>
  </si>
  <si>
    <t>CalPeak Power - Border</t>
  </si>
  <si>
    <t>University of California, San Francisco</t>
  </si>
  <si>
    <t>Calpine - O.L.S. Energy - Agnews Inc. 95134</t>
  </si>
  <si>
    <t>Algonquin Power Sanger, LLC</t>
  </si>
  <si>
    <t>Silicon Valley Power (SVP), City of Santa Clara , DVR</t>
  </si>
  <si>
    <t>High Desert Power Project, LLC</t>
  </si>
  <si>
    <t>Calpine - CCFC Sutter Energy, LLC</t>
  </si>
  <si>
    <t>Kern Energy (refinery)</t>
  </si>
  <si>
    <t>Kern River Cogeneration Facility</t>
  </si>
  <si>
    <t>Salinas River Cogeneration Facility</t>
  </si>
  <si>
    <t>CP Kelco San Diego</t>
  </si>
  <si>
    <t>Chalk Cliff Limited</t>
  </si>
  <si>
    <t>Qualcomm, Inc. - Pacific Center Facility</t>
  </si>
  <si>
    <t>Calpine - Creed Energy Center, LLC</t>
  </si>
  <si>
    <t>Calpine - Delta Energy Center, LLC</t>
  </si>
  <si>
    <t>Calpine - Geysers Power Company, LLC - Geothermal</t>
  </si>
  <si>
    <t>Calpine - Gilroy Energy Center, LLC, Riverview Peaker</t>
  </si>
  <si>
    <t>Northern California Power Agency - Geothermal Plant No. 1</t>
  </si>
  <si>
    <t>Northern California Power Agency - Geothermal Plant No. 2</t>
  </si>
  <si>
    <t>Southern California Edison (SCE) - Center Hybrid</t>
  </si>
  <si>
    <t>Southern California Edison (SCE) - Grapeland Hybrid</t>
  </si>
  <si>
    <t>Southern California Edison (SCE) - Barre Peaker</t>
  </si>
  <si>
    <t>Hanford Energy Park Peaker</t>
  </si>
  <si>
    <t>Fresno Cogeneration Partners, LP</t>
  </si>
  <si>
    <t>The P&amp;G Paper Products Co.</t>
  </si>
  <si>
    <t>CalPeak Power - Enterprise</t>
  </si>
  <si>
    <t>SDG&amp;E - Cuyamaca Peak Energy Plant</t>
  </si>
  <si>
    <t>City of Colton - Generation</t>
  </si>
  <si>
    <t>Coso Power Developers (Navy II) - Geothermal</t>
  </si>
  <si>
    <t>Coso Finance Partners (Navy I) - Geothermal</t>
  </si>
  <si>
    <t>Southern California Edison (SCE) - Pebbly Beach</t>
  </si>
  <si>
    <t>Malaga Power, LLC</t>
  </si>
  <si>
    <t>Panoche Energy Center, LLC</t>
  </si>
  <si>
    <t>PG&amp;E Gateway Generating Station</t>
  </si>
  <si>
    <t>Midway Peaking, LLC</t>
  </si>
  <si>
    <t>Calpine - Otay Mesa Energy Center</t>
  </si>
  <si>
    <t>PG&amp;E Colusa Generating Station</t>
  </si>
  <si>
    <t>Canyon Power Project (CPP)</t>
  </si>
  <si>
    <t>High Sierra Cogeneration</t>
  </si>
  <si>
    <t>Chevron AAPG 745 San Joaquin Basin</t>
  </si>
  <si>
    <t>California Resources Elk Hills, LLC - 35R Gas Plant</t>
  </si>
  <si>
    <t>Aera Energy Coastal Basins</t>
  </si>
  <si>
    <t>California Resources Production Corporation - San Joaquin Valley Basin 745</t>
  </si>
  <si>
    <t>California Resources Production Corporation - San Joaquin Valley Basin 746</t>
  </si>
  <si>
    <t>California Resources Production Corporation - San Joaquin Valley Basin 747</t>
  </si>
  <si>
    <t>Naval Medical Center - San Diego</t>
  </si>
  <si>
    <t>Orange Grove Energy Center</t>
  </si>
  <si>
    <t>California Resources Production Corporation - 760 Los Angeles Basin</t>
  </si>
  <si>
    <t>BWP/MPP Electricity Generating Facilities at 164 W. Magnolia</t>
  </si>
  <si>
    <t>Escondido Energy Center, LLC</t>
  </si>
  <si>
    <t>El Cajon Energy, LLC</t>
  </si>
  <si>
    <t>Sentinel Peak Resources - SJV Basin Facility</t>
  </si>
  <si>
    <t>Signal Hill Petroleum Facilities</t>
  </si>
  <si>
    <t>Berry Petroleum Company - San Joaquin Basin</t>
  </si>
  <si>
    <t>Mariposa Energy LLC</t>
  </si>
  <si>
    <t>Lodi Energy Center</t>
  </si>
  <si>
    <t>Marsh Landing Generating Station</t>
  </si>
  <si>
    <t>Walnut Creek Energy, LLC</t>
  </si>
  <si>
    <t>Sentinel Energy Center, LLC</t>
  </si>
  <si>
    <t>Southern California Edison (SCE) - McGrath Peaker</t>
  </si>
  <si>
    <t>Hudson Ranch Power I - Geothermal</t>
  </si>
  <si>
    <t>California State University, Fullerton</t>
  </si>
  <si>
    <t>Kaweah Delta Medical Center</t>
  </si>
  <si>
    <t>Saint Agnes Medical Center</t>
  </si>
  <si>
    <t>GH Camarillo, LLC</t>
  </si>
  <si>
    <t>Hoag Memorial Hospital Presbyterian</t>
  </si>
  <si>
    <t>Olive View Medical Center, Los Angeles County Department of Health Services</t>
  </si>
  <si>
    <t>Rady Children's Hospital San Diego</t>
  </si>
  <si>
    <t>Calpine - Russell City Energy Center</t>
  </si>
  <si>
    <t>Ivanpah Solar Electric Generating System</t>
  </si>
  <si>
    <t>Delano Energy Center, LLC</t>
  </si>
  <si>
    <t>Ormat Nevada, Inc. / ORNI 18 North Brawley - Geothermal</t>
  </si>
  <si>
    <t>University of California, Berkeley</t>
  </si>
  <si>
    <t>Sharp Grossmont Hospital</t>
  </si>
  <si>
    <t>Pio Pico Energy Center</t>
  </si>
  <si>
    <t>Revol Greens CA, LLC</t>
  </si>
  <si>
    <t>Carlsbad Energy Center Project</t>
  </si>
  <si>
    <t>Equinix Great Oaks - Bloom Energy Servers</t>
  </si>
  <si>
    <t>Equinix Lundy - Bloom Energy Servers</t>
  </si>
  <si>
    <t>Equinix Caspian - Bloom Energy Servers</t>
  </si>
  <si>
    <t>Equinix Duane - Bloom Energy Servers</t>
  </si>
  <si>
    <t>Keysight Technologies Inc - Bloom Energy Servers</t>
  </si>
  <si>
    <t>Kaiser Permanente - Bloom Energy Servers</t>
  </si>
  <si>
    <t>Apple Inc - Bloom Energy Servers</t>
  </si>
  <si>
    <t>IBE Project - Bloom Energy Servers</t>
  </si>
  <si>
    <t>Stanton Energy Reliability Center</t>
  </si>
  <si>
    <t>Illumina - Bloom Energy Servers</t>
  </si>
  <si>
    <t>Genentech - Bloom Energy Servers</t>
  </si>
  <si>
    <t>Kaiser LA Medical Center - Bloom Energy Servers</t>
  </si>
  <si>
    <t>Clearwater Paper Corp. - Lewiston</t>
  </si>
  <si>
    <t>Desert View Power [Biomass]</t>
  </si>
  <si>
    <t>Kettle Falls Woodwaste Plant</t>
  </si>
  <si>
    <t>Longview Washington Pulp &amp; Paper Mill</t>
  </si>
  <si>
    <t>McKinley Paper - Washington Mill</t>
  </si>
  <si>
    <t>Seneca Sustainability Energy [Biomass]</t>
  </si>
  <si>
    <t>Trans-Jordan Generating Station (Landfill Gas)</t>
  </si>
  <si>
    <t>West Point RNG LLC</t>
  </si>
  <si>
    <t>WestRock - Tacoma (fka Simpson Biomass)</t>
  </si>
  <si>
    <t>Afton Generating Station</t>
  </si>
  <si>
    <t>Agua Caliente Solar</t>
  </si>
  <si>
    <t>Agua Fria Generating Station</t>
  </si>
  <si>
    <t>Albeni Falls [Hydro]</t>
  </si>
  <si>
    <t>American Falls Solar</t>
  </si>
  <si>
    <t>American Falls Solar II</t>
  </si>
  <si>
    <t>Anderson Ranch [Hydro]</t>
  </si>
  <si>
    <t>Anticline Wind</t>
  </si>
  <si>
    <t>Apache Generating Station</t>
  </si>
  <si>
    <t>Apache Solar</t>
  </si>
  <si>
    <t>Apex Generating Station</t>
  </si>
  <si>
    <t>Aragonne Wind</t>
  </si>
  <si>
    <t>Arlington Valley Energy Facility</t>
  </si>
  <si>
    <t>Arlington Valley Solar II</t>
  </si>
  <si>
    <t>Arlington Wind</t>
  </si>
  <si>
    <t>Arroyo Solar</t>
  </si>
  <si>
    <t>Atrisco Solar</t>
  </si>
  <si>
    <t>Badger 1 [Solar]</t>
  </si>
  <si>
    <t>Beaver</t>
  </si>
  <si>
    <t>Bennett Mountain Power</t>
  </si>
  <si>
    <t>Beowawe Power [Geothermal]</t>
  </si>
  <si>
    <t>Bidwell Ditch Hydro</t>
  </si>
  <si>
    <t>Big Cliff [Hydro]</t>
  </si>
  <si>
    <t>Big Horn II [Wind]</t>
  </si>
  <si>
    <t>Big Horn PPM [Wind]</t>
  </si>
  <si>
    <t>Biglow Canyon Wind (Phase 1)</t>
  </si>
  <si>
    <t>Biglow Canyon Wind (Phase 2)</t>
  </si>
  <si>
    <t>Biglow Canyon Wind (Phase 3)</t>
  </si>
  <si>
    <t>Black Canyon [Hydro]</t>
  </si>
  <si>
    <t>Black Mountain Generating Station</t>
  </si>
  <si>
    <t>Boise River Diversion [Hydro]</t>
  </si>
  <si>
    <t>Bonneville Dam</t>
  </si>
  <si>
    <t>Boulder Park</t>
  </si>
  <si>
    <t>Boundary Hydro</t>
  </si>
  <si>
    <t>Box Canyon Dam (WA)</t>
  </si>
  <si>
    <t>Brady Geothermal Energy Facility</t>
  </si>
  <si>
    <t>Broadview Energy JN [Wind]</t>
  </si>
  <si>
    <t>Broadview Energy KW [Wind]</t>
  </si>
  <si>
    <t>Bronco Plains II [Wind]</t>
  </si>
  <si>
    <t>Brownlee [Hydro]</t>
  </si>
  <si>
    <t>Buena Vista Energy Center (BV1)</t>
  </si>
  <si>
    <t>Buena Vista Wind Farm</t>
  </si>
  <si>
    <t>Burney Creek [Hydro]</t>
  </si>
  <si>
    <t>Cabinet Gorge [Hydro]</t>
  </si>
  <si>
    <t>Caithness Shepherd's Flat - Horseshoe Bend [Wind]</t>
  </si>
  <si>
    <t>Caithness Shepherd's Flat - North Hurlburt [Wind]</t>
  </si>
  <si>
    <t>Caithness Shepherd's Flat - South Hurlburt [Wind]</t>
  </si>
  <si>
    <t>Calistoga Power Plant [Geothermal]</t>
  </si>
  <si>
    <t>Calpine Geothermal</t>
  </si>
  <si>
    <t>Campbell Hill Wind</t>
  </si>
  <si>
    <t>Carty Generating Station</t>
  </si>
  <si>
    <t>CD4 Geothermal Project</t>
  </si>
  <si>
    <t>Cedar Creek Wind</t>
  </si>
  <si>
    <t>Chandler [Hydro]</t>
  </si>
  <si>
    <t>Chehalis</t>
  </si>
  <si>
    <t>Chevelon Butte [Wind]</t>
  </si>
  <si>
    <t>Chevelon Butte II [Wind]</t>
  </si>
  <si>
    <t>Chief Joseph [Hydro]</t>
  </si>
  <si>
    <t>Chino Solar Valley</t>
  </si>
  <si>
    <t>Cholla Power Station</t>
  </si>
  <si>
    <t>Chuck Lenzie Station</t>
  </si>
  <si>
    <t>CJ Strike [Hydro]</t>
  </si>
  <si>
    <t>Clark Station</t>
  </si>
  <si>
    <t>Clearwater Wind</t>
  </si>
  <si>
    <t>Clearwater Wind III</t>
  </si>
  <si>
    <t>Clines Corners Wind</t>
  </si>
  <si>
    <t>Colgate Powerhouse [Hydro]</t>
  </si>
  <si>
    <t>Colstrip</t>
  </si>
  <si>
    <t>Columbia Generating Station [Nuclear]</t>
  </si>
  <si>
    <t>Combine Hills [Wind]</t>
  </si>
  <si>
    <t>Condon Wind</t>
  </si>
  <si>
    <t>Coolidge Generation Station</t>
  </si>
  <si>
    <t>Copper Crossing Energy and Research Center</t>
  </si>
  <si>
    <t>Copper Mountain Solar 1 (CM10)</t>
  </si>
  <si>
    <t>Copper Mountain Solar 1 (CM48)</t>
  </si>
  <si>
    <t>Copper Mountain Solar 2 (CMS2)</t>
  </si>
  <si>
    <t>Copper Mountain Solar 3</t>
  </si>
  <si>
    <t>Copper Mountain Solar 4 (CMS4)</t>
  </si>
  <si>
    <t>Coram Energy LLC (4.5 MW) [Wind]</t>
  </si>
  <si>
    <t>Coronado Generating Station</t>
  </si>
  <si>
    <t>Cotton Center Solar Hybrid</t>
  </si>
  <si>
    <t>Cougar [Hydro]</t>
  </si>
  <si>
    <t>Cowiltz River Project (Mayfield &amp; Mossyrock Dams)</t>
  </si>
  <si>
    <t>Cowlitz Falls [Hydro]</t>
  </si>
  <si>
    <t>Coyote Springs I</t>
  </si>
  <si>
    <t>Coyote Springs II</t>
  </si>
  <si>
    <t>Craig</t>
  </si>
  <si>
    <t>Currant Creek</t>
  </si>
  <si>
    <t>Dave Johnston</t>
  </si>
  <si>
    <t>DeMoss Petrie Generating Station</t>
  </si>
  <si>
    <t>Desert Basin Generating Station</t>
  </si>
  <si>
    <t>Desert Star [Solar]</t>
  </si>
  <si>
    <t>Desert Star Energy Center (fka Eldorado Energy)</t>
  </si>
  <si>
    <t>Detroit [Hydro]</t>
  </si>
  <si>
    <t>Dexter [Hydro]</t>
  </si>
  <si>
    <t>Diablo Dam</t>
  </si>
  <si>
    <t>Don A. Campbell (Phase 2) Geothermal</t>
  </si>
  <si>
    <t>Don A. Campbell (Wild Rose) Geothermal</t>
  </si>
  <si>
    <t>Dunlap I [Wind]</t>
  </si>
  <si>
    <t>Duran Mesa [Wind]</t>
  </si>
  <si>
    <t>Dworshak [Hydro]</t>
  </si>
  <si>
    <t>EBC Eltopia Branch Canal 4.6 Hydro</t>
  </si>
  <si>
    <t>El Cabo Wind</t>
  </si>
  <si>
    <t>Elkhorn Valley Wind</t>
  </si>
  <si>
    <t>Encogen Generating Station</t>
  </si>
  <si>
    <t>Eurus Combine Hills II [Wind]</t>
  </si>
  <si>
    <t>Evander Andrews Power Complex</t>
  </si>
  <si>
    <t>Ferndale Generating Station</t>
  </si>
  <si>
    <t>Foothills Solar</t>
  </si>
  <si>
    <t>Fort Churchill Station</t>
  </si>
  <si>
    <t>Foster [Hydro]</t>
  </si>
  <si>
    <t>Four Corners Power Plant</t>
  </si>
  <si>
    <t>FPL Energy Stateline II (Vansycle II) [Wind]</t>
  </si>
  <si>
    <t>FPL Energy Vansycle (Stateline 1&amp;2) [Wind]</t>
  </si>
  <si>
    <t>Frank Tracy Station</t>
  </si>
  <si>
    <t>Fredonia Generating Station</t>
  </si>
  <si>
    <t>Gadsby</t>
  </si>
  <si>
    <t>Galena 2 Geothermal</t>
  </si>
  <si>
    <t>Galena 3 Geothermal</t>
  </si>
  <si>
    <t>Gila Bend Hybrid [Solar]</t>
  </si>
  <si>
    <t>Gila River Power Station - Block 1</t>
  </si>
  <si>
    <t>Gila River Power Station - Block 2</t>
  </si>
  <si>
    <t>Gila River Power Station - Block 3</t>
  </si>
  <si>
    <t>Gila River Power Station - Block 4</t>
  </si>
  <si>
    <t>Glacier Wind (Naturener)</t>
  </si>
  <si>
    <t>Glacier Wind II</t>
  </si>
  <si>
    <t>Glen Canyon Dam</t>
  </si>
  <si>
    <t>Glenrock I [Wind]</t>
  </si>
  <si>
    <t>Glenrock III [Wind]</t>
  </si>
  <si>
    <t>Goldendale Generating Station</t>
  </si>
  <si>
    <t>Goodnoe Hills [Wind]</t>
  </si>
  <si>
    <t>Gorge Dam</t>
  </si>
  <si>
    <t>Goshen Phase II [Wind]</t>
  </si>
  <si>
    <t>Grady Wind</t>
  </si>
  <si>
    <t>Grand Coulee [Hydro]</t>
  </si>
  <si>
    <t>Grand View PV Solar Two</t>
  </si>
  <si>
    <t>Grays Harbor Energy</t>
  </si>
  <si>
    <t>Green Peter [Hydro]</t>
  </si>
  <si>
    <t>Green Springs [Hydro]</t>
  </si>
  <si>
    <t>Griffith Energy</t>
  </si>
  <si>
    <t>H. Wilson Sundt Generating Station (fka Irvington Generating Station)</t>
  </si>
  <si>
    <t>Harquahala Generating Project</t>
  </si>
  <si>
    <t>Harry Allen Solar</t>
  </si>
  <si>
    <t>Harry Allen Station</t>
  </si>
  <si>
    <t>Harvest Wind</t>
  </si>
  <si>
    <t>Hatchet Creek Hydro</t>
  </si>
  <si>
    <t>Hay Canyon Wind</t>
  </si>
  <si>
    <t>Hayden</t>
  </si>
  <si>
    <t>Headgate Rock Dam</t>
  </si>
  <si>
    <t>Heber Geothermal</t>
  </si>
  <si>
    <t>Hells Canyon [Hydro]</t>
  </si>
  <si>
    <t>Hermiston</t>
  </si>
  <si>
    <t>Hermiston Power</t>
  </si>
  <si>
    <t>Higgins Generating Station</t>
  </si>
  <si>
    <t>High Lonesome Mesa [Wind]</t>
  </si>
  <si>
    <t>High Mesa Energy, LLC  [Wind]</t>
  </si>
  <si>
    <t>High Plains [Wind]</t>
  </si>
  <si>
    <t>Hills Creek [Hydro]</t>
  </si>
  <si>
    <t>Holter Dam</t>
  </si>
  <si>
    <t>Hoover Dam</t>
  </si>
  <si>
    <t>Hopkins Ridge Wind</t>
  </si>
  <si>
    <t>Horse Butte Wind</t>
  </si>
  <si>
    <t>Horse Mesa HM4 [Hydro]</t>
  </si>
  <si>
    <t>Horseshoe Bend Wind</t>
  </si>
  <si>
    <t>Hungry Horse [Hydro]</t>
  </si>
  <si>
    <t>Hunter</t>
  </si>
  <si>
    <t>Hunter [Solar]</t>
  </si>
  <si>
    <t>Huntington</t>
  </si>
  <si>
    <t>Hyder Hybrid [Solar]</t>
  </si>
  <si>
    <t>Hyder II Hybrid [Solar]</t>
  </si>
  <si>
    <t>Ice Harbor [Hydro]</t>
  </si>
  <si>
    <t>ID Solar 1</t>
  </si>
  <si>
    <t>Intermountain Power Project (IPP)</t>
  </si>
  <si>
    <t>Jackpot Solar</t>
  </si>
  <si>
    <t>Jicarilla Solar 2</t>
  </si>
  <si>
    <t>Jim Bridger Total Plant</t>
  </si>
  <si>
    <t>John Day [Hydro]</t>
  </si>
  <si>
    <t>Juniper Canyon Wind</t>
  </si>
  <si>
    <t>Juniper Ridge [Hydro]</t>
  </si>
  <si>
    <t>Kerr [Hydro]</t>
  </si>
  <si>
    <t>Kings Beach</t>
  </si>
  <si>
    <t>Kittitas Valley Wind (Sagebrush)</t>
  </si>
  <si>
    <t>Klamath Falls Cogen</t>
  </si>
  <si>
    <t>Klamath Falls Peakers</t>
  </si>
  <si>
    <t>Klondike Wind I</t>
  </si>
  <si>
    <t>Klondike Wind II</t>
  </si>
  <si>
    <t>Klondike Wind III</t>
  </si>
  <si>
    <t>Klondike Wind IIIA</t>
  </si>
  <si>
    <t>Kyrene Generating Station</t>
  </si>
  <si>
    <t>La Joya Wind</t>
  </si>
  <si>
    <t>La Luz Generating Station</t>
  </si>
  <si>
    <t>Lake Chelan Hydro</t>
  </si>
  <si>
    <t>Lake Side</t>
  </si>
  <si>
    <t>Lancaster</t>
  </si>
  <si>
    <t>Langley Gulch Power Plant</t>
  </si>
  <si>
    <t>Las Vegas Generating Station</t>
  </si>
  <si>
    <t>Leaning Juniper [Wind]</t>
  </si>
  <si>
    <t>Leaning Juniper II [Wind]</t>
  </si>
  <si>
    <t>Libby (USACE) [Hydro]</t>
  </si>
  <si>
    <t>Linden Wind (aka Linden Ranch Wind)</t>
  </si>
  <si>
    <t>Little Falls [Hydro]</t>
  </si>
  <si>
    <t>Little Goose [Hydro]</t>
  </si>
  <si>
    <t>Lockhart Solar PV</t>
  </si>
  <si>
    <t>Long Lake [Hydro]</t>
  </si>
  <si>
    <t>Lookout Point [Hydro]</t>
  </si>
  <si>
    <t>Lordsburg Generating Station</t>
  </si>
  <si>
    <t>Lost Creek [Hydro]</t>
  </si>
  <si>
    <t>Lower Baker [Hydro]</t>
  </si>
  <si>
    <t>Lower Granite [Hydro]</t>
  </si>
  <si>
    <t>Lower Monumental [Hydro]</t>
  </si>
  <si>
    <t>Lower Snake River Wind</t>
  </si>
  <si>
    <t>Lucky Peak Power Plant Project [Hydro]</t>
  </si>
  <si>
    <t>Luke Solar</t>
  </si>
  <si>
    <t>Luna Energy Facility</t>
  </si>
  <si>
    <t>Luning Solar</t>
  </si>
  <si>
    <t>Macho Springs Solar</t>
  </si>
  <si>
    <t>Main Canal Headworks Hydro</t>
  </si>
  <si>
    <t>Marengo Wind I</t>
  </si>
  <si>
    <t>Marengo Wind II</t>
  </si>
  <si>
    <t>McGinness Hills 3 Geothermal</t>
  </si>
  <si>
    <t>McNary [Hydro]</t>
  </si>
  <si>
    <t>Merwin [Hydro]</t>
  </si>
  <si>
    <t>Mesquite 5 Solar</t>
  </si>
  <si>
    <t>Mesquite Generating Station - Block 1</t>
  </si>
  <si>
    <t>Mesquite Generating Station - Block 2</t>
  </si>
  <si>
    <t>Mesquite Solar 1</t>
  </si>
  <si>
    <t>Mesquite Solar 2</t>
  </si>
  <si>
    <t>Mid-C Hydro - Rock Island (Chelan County PUD)</t>
  </si>
  <si>
    <t>Mid-C Hydro - Rocky Reach (Chelan County PUD)</t>
  </si>
  <si>
    <t>Mid-C Hydro - Wells (Douglas County PUD)</t>
  </si>
  <si>
    <t>Middlefork Irrigation District [Hydro]</t>
  </si>
  <si>
    <t>Milford I Wind</t>
  </si>
  <si>
    <t>Milford II Wind</t>
  </si>
  <si>
    <t>Minidoka [Hydro]</t>
  </si>
  <si>
    <t>Mint Farm Generation Station</t>
  </si>
  <si>
    <t>Moapa Southern Paiute Solar</t>
  </si>
  <si>
    <t>Mohave County Wind</t>
  </si>
  <si>
    <t>Monroe Street HED [Hydro]</t>
  </si>
  <si>
    <t>Montague Wind</t>
  </si>
  <si>
    <t>Mormon Flat [Hydro]</t>
  </si>
  <si>
    <t>Murphy Flat Solar</t>
  </si>
  <si>
    <t>Narrows 2 Powerhouse [Hydro]</t>
  </si>
  <si>
    <t>Naughton</t>
  </si>
  <si>
    <t>Neal Hot Springs Geothermal</t>
  </si>
  <si>
    <t>Nebo Power Station</t>
  </si>
  <si>
    <t>Nevada Cogeneration Associates #1</t>
  </si>
  <si>
    <t>Nevada Cogeneration Associates #2 GP</t>
  </si>
  <si>
    <t>New Mexico Wind Energy Center</t>
  </si>
  <si>
    <t>Nine Canyon Wind</t>
  </si>
  <si>
    <t>Nine Mile HED [Hydro]</t>
  </si>
  <si>
    <t>North Loop Generating Station</t>
  </si>
  <si>
    <t>Noxon Rapids [Hydro]</t>
  </si>
  <si>
    <t>Ocotillo</t>
  </si>
  <si>
    <t>Orchard Ranch Solar</t>
  </si>
  <si>
    <t>Oxbow (Oregon) [Hydro]</t>
  </si>
  <si>
    <t>Pachwaywit (Montague Solar)</t>
  </si>
  <si>
    <t>Palisades [Hydro]</t>
  </si>
  <si>
    <t>Palmer Solar</t>
  </si>
  <si>
    <t>Paloma Solar Hybrid</t>
  </si>
  <si>
    <t>Palouse Wind</t>
  </si>
  <si>
    <t>Panorama Wind</t>
  </si>
  <si>
    <t>Parker-Davis Project [Hydro]</t>
  </si>
  <si>
    <t>Patua Geothermal</t>
  </si>
  <si>
    <t>Pebble Springs [Wind]</t>
  </si>
  <si>
    <t>Pelton Round Butte [Hydro]</t>
  </si>
  <si>
    <t>Perrin Ranch Wind</t>
  </si>
  <si>
    <t>Pike Solar</t>
  </si>
  <si>
    <t>Port Westward 1</t>
  </si>
  <si>
    <t>Port Westward 2</t>
  </si>
  <si>
    <t>Post Falls Hydro</t>
  </si>
  <si>
    <t>Potholes East Canal 66.0 Hydro</t>
  </si>
  <si>
    <t>Potholes East Canal Headworks Powerplant [Hydro]</t>
  </si>
  <si>
    <t>Prescott Airport [Solar]</t>
  </si>
  <si>
    <t>Prescott Solar</t>
  </si>
  <si>
    <t>Raft River Geothermal - GE 1</t>
  </si>
  <si>
    <t>Rathdrum</t>
  </si>
  <si>
    <t>Rattlesnake Flat Wind</t>
  </si>
  <si>
    <t>RD Smith [Hydro]</t>
  </si>
  <si>
    <t>RE Ajo 1 [Solar]</t>
  </si>
  <si>
    <t>RE Bagdad Solar I</t>
  </si>
  <si>
    <t>RE Gillespie 1 [Solar]</t>
  </si>
  <si>
    <t>RE Mustang Two Whirlaway [Solar]</t>
  </si>
  <si>
    <t>Red Cloud Wind</t>
  </si>
  <si>
    <t>Red Hawk Power Station CC Natural Gas</t>
  </si>
  <si>
    <t>Red Mesa Wind</t>
  </si>
  <si>
    <t>Red Rock Solar</t>
  </si>
  <si>
    <t>Reeves Generating Station</t>
  </si>
  <si>
    <t>Richard Burdette Power Plant [Geothermal]</t>
  </si>
  <si>
    <t>Rim Rock Wind (Naturener)</t>
  </si>
  <si>
    <t>Rio Bravo Generating Station</t>
  </si>
  <si>
    <t>Roaring Creek Hydro</t>
  </si>
  <si>
    <t>Rock River I Wind</t>
  </si>
  <si>
    <t>Rockland Wind Farm</t>
  </si>
  <si>
    <t>Rocky Brook [Hydro]</t>
  </si>
  <si>
    <t>Rolling Hills [Wind]</t>
  </si>
  <si>
    <t>Roosevelt [Hydro]</t>
  </si>
  <si>
    <t>Ross Dam</t>
  </si>
  <si>
    <t>Roza [Hydro]</t>
  </si>
  <si>
    <t>Saddle Mountain Solar I</t>
  </si>
  <si>
    <t>Saguaro</t>
  </si>
  <si>
    <t>Santan Generating Station</t>
  </si>
  <si>
    <t>Seven Mile Hill I [Wind]</t>
  </si>
  <si>
    <t>Shiloh I Wind Project</t>
  </si>
  <si>
    <t>Silver State Solar - South</t>
  </si>
  <si>
    <t>Silverhawk Station</t>
  </si>
  <si>
    <t>Simcoe Solar</t>
  </si>
  <si>
    <t>Skookumchuck Wind</t>
  </si>
  <si>
    <t>Sky River Wind</t>
  </si>
  <si>
    <t>Smith Falls Hydro</t>
  </si>
  <si>
    <t>Solana [Solar]</t>
  </si>
  <si>
    <t>South Point Energy Center</t>
  </si>
  <si>
    <t>Springerville Generating Station</t>
  </si>
  <si>
    <t>Stampede [Hydro]</t>
  </si>
  <si>
    <t>Star Peak Geothermal</t>
  </si>
  <si>
    <t>Star Point [Wind]</t>
  </si>
  <si>
    <t>Steamboat Hills Geothermal</t>
  </si>
  <si>
    <t>Steamboat II &amp; III [Geothermal]</t>
  </si>
  <si>
    <t>Stewart Mountain [Hydro]</t>
  </si>
  <si>
    <t>Sumas Power Plant</t>
  </si>
  <si>
    <t>Summer Falls Power Plant Hydro</t>
  </si>
  <si>
    <t>Sun Peak Generating Station</t>
  </si>
  <si>
    <t>Sun Streams [Solar]</t>
  </si>
  <si>
    <t>Sun Streams III [Solar]</t>
  </si>
  <si>
    <t>Sundance</t>
  </si>
  <si>
    <t>Sunnyside Cogen Associates</t>
  </si>
  <si>
    <t>Sunshine Valley Solar</t>
  </si>
  <si>
    <t>Swift No. 1 [Hydro]</t>
  </si>
  <si>
    <t>Tecolote Wind</t>
  </si>
  <si>
    <t>Terra-Gen Dixie Valley [Geothermal]</t>
  </si>
  <si>
    <t>The Dalles [Hydro]</t>
  </si>
  <si>
    <t>The Dalles Dam North Fishway Project</t>
  </si>
  <si>
    <t>Thermo No. 1 Geothermal (Raser Technologies)</t>
  </si>
  <si>
    <t>Tieton Dam Hydro</t>
  </si>
  <si>
    <t>Top of the World [Wind]</t>
  </si>
  <si>
    <t>Townsite Solar</t>
  </si>
  <si>
    <t>TPWR Mossyrock Gen 51 [Hydro]</t>
  </si>
  <si>
    <t>TPWR Mossyrock Gen 52 [Hydro]</t>
  </si>
  <si>
    <t>Transalta Centralia Generation</t>
  </si>
  <si>
    <t>TS Power Plant</t>
  </si>
  <si>
    <t>Tucannon River Wind</t>
  </si>
  <si>
    <t>Tungsten Mountain Geothermal</t>
  </si>
  <si>
    <t>Turquoise Liberty Solar - Phase 1</t>
  </si>
  <si>
    <t>Upper Baker [Hydro]</t>
  </si>
  <si>
    <t>Upper Falls Hydro</t>
  </si>
  <si>
    <t>Valencia Energy Center</t>
  </si>
  <si>
    <t>Valencia Power Plant</t>
  </si>
  <si>
    <t>Vantage Wind</t>
  </si>
  <si>
    <t>Veyo Heat Recovery Project [Waste heat]</t>
  </si>
  <si>
    <t>Voyager Wind II</t>
  </si>
  <si>
    <t>West Phoenix</t>
  </si>
  <si>
    <t>West Valley Generation Project</t>
  </si>
  <si>
    <t>White Creek Wind</t>
  </si>
  <si>
    <t>Whitegrass No. 1 [Geothermal]</t>
  </si>
  <si>
    <t>Whitehorn Generating Station</t>
  </si>
  <si>
    <t>Wild Horse Wind</t>
  </si>
  <si>
    <t>Willow Creek Wind</t>
  </si>
  <si>
    <t>Wind Resource I (CalWind)</t>
  </si>
  <si>
    <t>Windy Flats Wind</t>
  </si>
  <si>
    <t>Windy Point/Flats - Phase 1 (Tuolumne Wind Project)</t>
  </si>
  <si>
    <t>Wright Solar Park LLC</t>
  </si>
  <si>
    <t>Wy'East Solar</t>
  </si>
  <si>
    <t>Wynoochee River Project [Hydro]</t>
  </si>
  <si>
    <t>Wyodak</t>
  </si>
  <si>
    <t>Yale [Hydro]</t>
  </si>
  <si>
    <t>Yucca</t>
  </si>
  <si>
    <t>Yuma Cogen Associates</t>
  </si>
  <si>
    <t>Big Sky Dairy Digester</t>
  </si>
  <si>
    <t>Frederickson PSE</t>
  </si>
  <si>
    <t>Kettle Butte Dairy Biofactory [Digester Gas]</t>
  </si>
  <si>
    <t>Goal Line LP</t>
  </si>
  <si>
    <t>Bonanza</t>
  </si>
  <si>
    <t>Leland Olds</t>
  </si>
  <si>
    <t>SF Southeast Cogen Plant</t>
  </si>
  <si>
    <t>Santa Cruz Energy</t>
  </si>
  <si>
    <t>Ameresco Johnson Canyon</t>
  </si>
  <si>
    <t>Ameresco Butte County</t>
  </si>
  <si>
    <t>Alameda</t>
  </si>
  <si>
    <t>Lodi</t>
  </si>
  <si>
    <t>G2 Energy Hay Rd</t>
  </si>
  <si>
    <t>Coachella</t>
  </si>
  <si>
    <t>Rockwood</t>
  </si>
  <si>
    <t>Monterey One Water</t>
  </si>
  <si>
    <t>ABEC #2 dba West-Star Dairy</t>
  </si>
  <si>
    <t>ABEC #3 dba Lakeview Dairy</t>
  </si>
  <si>
    <t>ABEC #4 dba CE&amp;S Dairy</t>
  </si>
  <si>
    <t>Cold Canyon 1</t>
  </si>
  <si>
    <t>Zero Waste Energy Development Co LLC</t>
  </si>
  <si>
    <t>Verwey-Hanford Dairy Digester #2</t>
  </si>
  <si>
    <t>Verwey-Hanford Dairy Digester #3</t>
  </si>
  <si>
    <t>ABEC Bidart-Old River LLC</t>
  </si>
  <si>
    <t>BYUI Central Energy Facility</t>
  </si>
  <si>
    <t>Springs Generating Station</t>
  </si>
  <si>
    <t>Roseville Power Plant #2</t>
  </si>
  <si>
    <t>McClellan (CA)</t>
  </si>
  <si>
    <t>Gianera</t>
  </si>
  <si>
    <t>Oxnard Wastewater Treatment Plant</t>
  </si>
  <si>
    <t>H. Gonzales</t>
  </si>
  <si>
    <t>Bear Valley Power Plant</t>
  </si>
  <si>
    <t>Walnut Power Plant</t>
  </si>
  <si>
    <t>Tulare BioMAT Fuel Cell</t>
  </si>
  <si>
    <t>Still Water Power</t>
  </si>
  <si>
    <t>Diamond H Dairy Power</t>
  </si>
  <si>
    <t>Tajiguas Resource Recovery Project</t>
  </si>
  <si>
    <t>Toyota Long Beach Trigen</t>
  </si>
  <si>
    <t>McClure</t>
  </si>
  <si>
    <t>San Marcos Energy LLC</t>
  </si>
  <si>
    <t>Mammoth G1</t>
  </si>
  <si>
    <t>Mammoth G2</t>
  </si>
  <si>
    <t>McGinness Hills 3</t>
  </si>
  <si>
    <t>Ormesa Geothermal</t>
  </si>
  <si>
    <t>Blundell</t>
  </si>
  <si>
    <t>Calpine - Sonoma California Geothermal</t>
  </si>
  <si>
    <t>MM Tulare Energy</t>
  </si>
  <si>
    <t>Ormesa II</t>
  </si>
  <si>
    <t>Lopez Canyon</t>
  </si>
  <si>
    <t xml:space="preserve">SANTA MARIA II LFG POWER PLANT </t>
  </si>
  <si>
    <t>Ormat Nevada, Inc./ GEM 2 &amp; 3 - Geothermal</t>
  </si>
  <si>
    <t>Mammoth G3</t>
  </si>
  <si>
    <t>Rollins</t>
  </si>
  <si>
    <t>Venice Hydro</t>
  </si>
  <si>
    <t>South Consolidated</t>
  </si>
  <si>
    <t>J S Eastwood</t>
  </si>
  <si>
    <t>Davis Dam</t>
  </si>
  <si>
    <t>Lake Creek Dam</t>
  </si>
  <si>
    <t>Turlock Lake</t>
  </si>
  <si>
    <t>Hickman</t>
  </si>
  <si>
    <t>Volta 2</t>
  </si>
  <si>
    <t>Alta Powerhouse</t>
  </si>
  <si>
    <t>Angels</t>
  </si>
  <si>
    <t>Balch 1</t>
  </si>
  <si>
    <t>Balch 2</t>
  </si>
  <si>
    <t>Belden</t>
  </si>
  <si>
    <t>Bucks Creek</t>
  </si>
  <si>
    <t>Butt Valley</t>
  </si>
  <si>
    <t>Caribou 1</t>
  </si>
  <si>
    <t>Caribou 2</t>
  </si>
  <si>
    <t>Chili Bar</t>
  </si>
  <si>
    <t>Coleman PH</t>
  </si>
  <si>
    <t>Cow Creek</t>
  </si>
  <si>
    <t>Crane Valley Powerhouse</t>
  </si>
  <si>
    <t>Cresta</t>
  </si>
  <si>
    <t>De Sabla</t>
  </si>
  <si>
    <t>Deer Creek PH</t>
  </si>
  <si>
    <t>Drum 1</t>
  </si>
  <si>
    <t>Drum 2</t>
  </si>
  <si>
    <t>Dutch Flat</t>
  </si>
  <si>
    <t>El Dorado</t>
  </si>
  <si>
    <t>Electra</t>
  </si>
  <si>
    <t>Haas</t>
  </si>
  <si>
    <t>Halsey</t>
  </si>
  <si>
    <t>Hat Creek 1</t>
  </si>
  <si>
    <t>Hat Creek 2</t>
  </si>
  <si>
    <t>James B Black</t>
  </si>
  <si>
    <t>Kilarc</t>
  </si>
  <si>
    <t>Kings River PH</t>
  </si>
  <si>
    <t>Merced Falls</t>
  </si>
  <si>
    <t>Murphys</t>
  </si>
  <si>
    <t>Narrows PH</t>
  </si>
  <si>
    <t>Phoenix</t>
  </si>
  <si>
    <t>Pit 1</t>
  </si>
  <si>
    <t>Pit 3</t>
  </si>
  <si>
    <t>Pit 4</t>
  </si>
  <si>
    <t>Pit 5</t>
  </si>
  <si>
    <t>Pit 6</t>
  </si>
  <si>
    <t>Pit 7</t>
  </si>
  <si>
    <t>Poe</t>
  </si>
  <si>
    <t>Potter Valley</t>
  </si>
  <si>
    <t>Rock Creek</t>
  </si>
  <si>
    <t>San Joaquin 2</t>
  </si>
  <si>
    <t>San Joaquin 3</t>
  </si>
  <si>
    <t>San Joaquin No. 1</t>
  </si>
  <si>
    <t>Salt Springs</t>
  </si>
  <si>
    <t>South</t>
  </si>
  <si>
    <t>Spaulding 1</t>
  </si>
  <si>
    <t>Spaulding 2</t>
  </si>
  <si>
    <t>Spaulding 3</t>
  </si>
  <si>
    <t>Spring Gap</t>
  </si>
  <si>
    <t>Stanislaus</t>
  </si>
  <si>
    <t>Tiger Creek</t>
  </si>
  <si>
    <t>Volta 1</t>
  </si>
  <si>
    <t>West Point PH</t>
  </si>
  <si>
    <t>Wise</t>
  </si>
  <si>
    <t>A G Wishon</t>
  </si>
  <si>
    <t>Copco 1</t>
  </si>
  <si>
    <t>Fall Creek</t>
  </si>
  <si>
    <t>Iron Gate</t>
  </si>
  <si>
    <t>Drop 5 (CA)</t>
  </si>
  <si>
    <t>Sepulveda Canyon</t>
  </si>
  <si>
    <t>Big Creek 1</t>
  </si>
  <si>
    <t>Big Creek 2</t>
  </si>
  <si>
    <t>Big Creek 3</t>
  </si>
  <si>
    <t>Big Creek 4</t>
  </si>
  <si>
    <t>Big Creek 8</t>
  </si>
  <si>
    <t>Big Creek 2A</t>
  </si>
  <si>
    <t>Bishop Creek 2</t>
  </si>
  <si>
    <t>Bishop Creek 3</t>
  </si>
  <si>
    <t>Bishop Creek 4</t>
  </si>
  <si>
    <t>Bishop Creek 5</t>
  </si>
  <si>
    <t>Bishop Creek 6</t>
  </si>
  <si>
    <t>Fontana</t>
  </si>
  <si>
    <t>Kaweah 2</t>
  </si>
  <si>
    <t>Kaweah 1</t>
  </si>
  <si>
    <t>Kaweah 3</t>
  </si>
  <si>
    <t>Kern River 3</t>
  </si>
  <si>
    <t>Kern River 1</t>
  </si>
  <si>
    <t>Lundy</t>
  </si>
  <si>
    <t>Mammoth Pool</t>
  </si>
  <si>
    <t>Poole</t>
  </si>
  <si>
    <t>Portal</t>
  </si>
  <si>
    <t>Rush Creek</t>
  </si>
  <si>
    <t>Santa Ana 1</t>
  </si>
  <si>
    <t>Santa Ana 3</t>
  </si>
  <si>
    <t>Lower Tule River</t>
  </si>
  <si>
    <t>Pardee</t>
  </si>
  <si>
    <t>Dion R Holm</t>
  </si>
  <si>
    <t>Moccasin</t>
  </si>
  <si>
    <t>R C Kirkwood</t>
  </si>
  <si>
    <t>Drop 2 (CA)</t>
  </si>
  <si>
    <t>Drop 3 (CA)</t>
  </si>
  <si>
    <t>Drop 4</t>
  </si>
  <si>
    <t>Pilot Knob</t>
  </si>
  <si>
    <t>Big Pine Creek</t>
  </si>
  <si>
    <t>Castaic</t>
  </si>
  <si>
    <t>Control Gorge</t>
  </si>
  <si>
    <t>Cottonwood</t>
  </si>
  <si>
    <t>Foothill</t>
  </si>
  <si>
    <t>Franklin (CA)</t>
  </si>
  <si>
    <t>Haiwee</t>
  </si>
  <si>
    <t>Middle Gorge</t>
  </si>
  <si>
    <t>Pleasant Valley Hydro</t>
  </si>
  <si>
    <t>San Fernando</t>
  </si>
  <si>
    <t>Upper Gorge</t>
  </si>
  <si>
    <t>Exchequer</t>
  </si>
  <si>
    <t>McSwain</t>
  </si>
  <si>
    <t>Chicago Park</t>
  </si>
  <si>
    <t>Dutch Flat 2</t>
  </si>
  <si>
    <t>Beardsley</t>
  </si>
  <si>
    <t>Donnells</t>
  </si>
  <si>
    <t>Tulloch</t>
  </si>
  <si>
    <t>Forbestown</t>
  </si>
  <si>
    <t>Kelly Ridge</t>
  </si>
  <si>
    <t>Woodleaf</t>
  </si>
  <si>
    <t>French Meadows</t>
  </si>
  <si>
    <t>Middle Fork</t>
  </si>
  <si>
    <t>Oxbow (CA)</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</si>
  <si>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</si>
  <si>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</si>
  <si>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</si>
  <si>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</si>
  <si>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</si>
  <si>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</si>
  <si>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</si>
  <si>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</si>
  <si>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</si>
  <si>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</si>
  <si>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</si>
  <si>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</si>
  <si>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</si>
  <si>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</si>
  <si>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</si>
  <si>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</si>
  <si>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</si>
  <si>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</si>
  <si>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W R Gianelli</t>
  </si>
  <si>
    <t>Spring Creek</t>
  </si>
  <si>
    <t>Trinity</t>
  </si>
  <si>
    <t>Bear Valley</t>
  </si>
  <si>
    <t>Boulder Canyon Hydro</t>
  </si>
  <si>
    <t>Cabin Creek</t>
  </si>
  <si>
    <t>Georgetown Hydro</t>
  </si>
  <si>
    <t>Salida</t>
  </si>
  <si>
    <t>Shoshone (CO)</t>
  </si>
  <si>
    <t>Temescal</t>
  </si>
  <si>
    <t>Corona</t>
  </si>
  <si>
    <t>Perris</t>
  </si>
  <si>
    <t>Rio Hondo</t>
  </si>
  <si>
    <t>Coyote Creek</t>
  </si>
  <si>
    <t>Red Mountain</t>
  </si>
  <si>
    <t>Valley View</t>
  </si>
  <si>
    <t>Upper Dawson</t>
  </si>
  <si>
    <t>Manitou Springs</t>
  </si>
  <si>
    <t>Ruxton Park</t>
  </si>
  <si>
    <t>Stone Drop</t>
  </si>
  <si>
    <t>Boysen</t>
  </si>
  <si>
    <t>Lamar Plant</t>
  </si>
  <si>
    <t>Blue Mesa</t>
  </si>
  <si>
    <t>Estes</t>
  </si>
  <si>
    <t>Morrow Point</t>
  </si>
  <si>
    <t>Big Thompson</t>
  </si>
  <si>
    <t>Green Mountain</t>
  </si>
  <si>
    <t>Marys Lake</t>
  </si>
  <si>
    <t>Flatiron</t>
  </si>
  <si>
    <t>Pole Hill</t>
  </si>
  <si>
    <t>Lower Molina</t>
  </si>
  <si>
    <t>Upper Molina</t>
  </si>
  <si>
    <t>Sacramento Municipal Util Dist</t>
  </si>
  <si>
    <t>Jones Fork</t>
  </si>
  <si>
    <t>Camanche</t>
  </si>
  <si>
    <t>Navajo Dam</t>
  </si>
  <si>
    <t>Drop 1</t>
  </si>
  <si>
    <t>East Highline</t>
  </si>
  <si>
    <t>South Fork Tolt</t>
  </si>
  <si>
    <t>Oak Flat</t>
  </si>
  <si>
    <t>Newcastle</t>
  </si>
  <si>
    <t>Kerckhoff 2</t>
  </si>
  <si>
    <t>Medicine Bow</t>
  </si>
  <si>
    <t>Toadtown</t>
  </si>
  <si>
    <t>Etiwanda</t>
  </si>
  <si>
    <t>Moccasin Low Head Hydro Project</t>
  </si>
  <si>
    <t>Hell Hole Powerhouse</t>
  </si>
  <si>
    <t>Sly Creek</t>
  </si>
  <si>
    <t>Gem State</t>
  </si>
  <si>
    <t>American Falls</t>
  </si>
  <si>
    <t>Bliss (ID)</t>
  </si>
  <si>
    <t>Cascade Dam (ID)</t>
  </si>
  <si>
    <t>Clear Lake</t>
  </si>
  <si>
    <t>Lower Malad</t>
  </si>
  <si>
    <t>Lower Salmon</t>
  </si>
  <si>
    <t>Shoshone Falls</t>
  </si>
  <si>
    <t>Swan Falls</t>
  </si>
  <si>
    <t>Thousand Springs</t>
  </si>
  <si>
    <t>Twin Falls (ID)</t>
  </si>
  <si>
    <t>Upper Salmon A</t>
  </si>
  <si>
    <t>Upper Malad</t>
  </si>
  <si>
    <t>Ashton</t>
  </si>
  <si>
    <t>Grace</t>
  </si>
  <si>
    <t>Oneida</t>
  </si>
  <si>
    <t>Paris</t>
  </si>
  <si>
    <t>Soda</t>
  </si>
  <si>
    <t>Scott Flat</t>
  </si>
  <si>
    <t>City Power Plant</t>
  </si>
  <si>
    <t>Lower No 2</t>
  </si>
  <si>
    <t>Upper Power Plant</t>
  </si>
  <si>
    <t>Combie South</t>
  </si>
  <si>
    <t>Alamo</t>
  </si>
  <si>
    <t>Quincy Chute</t>
  </si>
  <si>
    <t>Hydro Plant No 3</t>
  </si>
  <si>
    <t>Lewiston</t>
  </si>
  <si>
    <t>Last Chance</t>
  </si>
  <si>
    <t>Manti Lower</t>
  </si>
  <si>
    <t>Black Eagle</t>
  </si>
  <si>
    <t>Cochrane</t>
  </si>
  <si>
    <t>Hauser</t>
  </si>
  <si>
    <t>Morony</t>
  </si>
  <si>
    <t>Mystic</t>
  </si>
  <si>
    <t>Rainbow (MT)</t>
  </si>
  <si>
    <t>Ryan</t>
  </si>
  <si>
    <t>Thompson Falls</t>
  </si>
  <si>
    <t>Yellowtail</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</si>
  <si>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</si>
  <si>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</si>
  <si>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</si>
  <si>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</si>
  <si>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</si>
  <si>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</si>
  <si>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</si>
  <si>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</si>
  <si>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</si>
  <si>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</si>
  <si>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</si>
  <si>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</si>
  <si>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</si>
  <si>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</si>
  <si>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</si>
  <si>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Faraday</t>
  </si>
  <si>
    <t>North Fork</t>
  </si>
  <si>
    <t>River Mill</t>
  </si>
  <si>
    <t>Round Butte</t>
  </si>
  <si>
    <t>Sullivan</t>
  </si>
  <si>
    <t>Carmen Smith</t>
  </si>
  <si>
    <t>Walterville</t>
  </si>
  <si>
    <t>Graeagle</t>
  </si>
  <si>
    <t>Veyo</t>
  </si>
  <si>
    <t>Sand Cove</t>
  </si>
  <si>
    <t>Upper Beaver</t>
  </si>
  <si>
    <t>Cutler Hydro</t>
  </si>
  <si>
    <t>Granite</t>
  </si>
  <si>
    <t>Pioneer</t>
  </si>
  <si>
    <t>Snake Creek</t>
  </si>
  <si>
    <t>Stairs</t>
  </si>
  <si>
    <t>Weber</t>
  </si>
  <si>
    <t>Brigham City</t>
  </si>
  <si>
    <t>Hydro III</t>
  </si>
  <si>
    <t>Manti Upper</t>
  </si>
  <si>
    <t>Bartholomew</t>
  </si>
  <si>
    <t>Spanish Fork</t>
  </si>
  <si>
    <t>Gateway</t>
  </si>
  <si>
    <t>Wanship</t>
  </si>
  <si>
    <t>Boulder</t>
  </si>
  <si>
    <t>Uintah</t>
  </si>
  <si>
    <t>John H Kerr</t>
  </si>
  <si>
    <t>Electron</t>
  </si>
  <si>
    <t>Snoqualmie</t>
  </si>
  <si>
    <t>Meyers Falls</t>
  </si>
  <si>
    <t>Yelm</t>
  </si>
  <si>
    <t>Priest Rapids</t>
  </si>
  <si>
    <t>Wanapum</t>
  </si>
  <si>
    <t>Alder</t>
  </si>
  <si>
    <t>Cushman 1</t>
  </si>
  <si>
    <t>Cushman 2</t>
  </si>
  <si>
    <t>LaGrande</t>
  </si>
  <si>
    <t>Packwood</t>
  </si>
  <si>
    <t>Fremont Canyon</t>
  </si>
  <si>
    <t>Glendo</t>
  </si>
  <si>
    <t>Guernsey</t>
  </si>
  <si>
    <t>Kortes</t>
  </si>
  <si>
    <t>Seminoe</t>
  </si>
  <si>
    <t>Shoshone (WY)</t>
  </si>
  <si>
    <t>Fontenelle</t>
  </si>
  <si>
    <t>Island Park</t>
  </si>
  <si>
    <t>PHP 1</t>
  </si>
  <si>
    <t>PHP 2</t>
  </si>
  <si>
    <t>Echo Dam</t>
  </si>
  <si>
    <t>Palo Verde</t>
  </si>
  <si>
    <t>Diablo Canyon</t>
  </si>
  <si>
    <t>Helms Pumped Storage</t>
  </si>
  <si>
    <t>New Melones</t>
  </si>
  <si>
    <t>Crystal</t>
  </si>
  <si>
    <t>W E Warne</t>
  </si>
  <si>
    <t>Tacoma</t>
  </si>
  <si>
    <t>Ames Hydro</t>
  </si>
  <si>
    <t>Mount Elbert</t>
  </si>
  <si>
    <t>Felt</t>
  </si>
  <si>
    <t>Strawberry Creek</t>
  </si>
  <si>
    <t>Swift Creek</t>
  </si>
  <si>
    <t>Canyon Ferry</t>
  </si>
  <si>
    <t>Elephant Butte</t>
  </si>
  <si>
    <t>Deer Creek (UT)</t>
  </si>
  <si>
    <t>Flaming Gorge</t>
  </si>
  <si>
    <t>Heart Mountain</t>
  </si>
  <si>
    <t>Alcova</t>
  </si>
  <si>
    <t>Lemolo 2</t>
  </si>
  <si>
    <t>Madison Dam</t>
  </si>
  <si>
    <t>Cedar Falls (WA)</t>
  </si>
  <si>
    <t>Azusa</t>
  </si>
  <si>
    <t>Big Fork</t>
  </si>
  <si>
    <t>San Francisquito 1</t>
  </si>
  <si>
    <t>San Francisquito 2</t>
  </si>
  <si>
    <t>Bend</t>
  </si>
  <si>
    <t>Oak Grove</t>
  </si>
  <si>
    <t>Moyie Springs</t>
  </si>
  <si>
    <t>Fleish</t>
  </si>
  <si>
    <t>Lahontan</t>
  </si>
  <si>
    <t>Verdi</t>
  </si>
  <si>
    <t>Washoe</t>
  </si>
  <si>
    <t>Little Cottonwood</t>
  </si>
  <si>
    <t>Union Valley</t>
  </si>
  <si>
    <t>Fort Peck</t>
  </si>
  <si>
    <t>Lake Mathews</t>
  </si>
  <si>
    <t>Foothill Feeder</t>
  </si>
  <si>
    <t>San Dimas</t>
  </si>
  <si>
    <t>Yorba Linda</t>
  </si>
  <si>
    <t>Lower No 1</t>
  </si>
  <si>
    <t>Unit 4</t>
  </si>
  <si>
    <t>Hydro II</t>
  </si>
  <si>
    <t>Viva Naughton</t>
  </si>
  <si>
    <t>Gunlock</t>
  </si>
  <si>
    <t>Mojave Siphon</t>
  </si>
  <si>
    <t>Upper Salmon B</t>
  </si>
  <si>
    <t>Thermalito Diverson Dam</t>
  </si>
  <si>
    <t>Pine View Dam</t>
  </si>
  <si>
    <t>Mill Creek 3</t>
  </si>
  <si>
    <t>Stony Gorge</t>
  </si>
  <si>
    <t>Waddell</t>
  </si>
  <si>
    <t>Whiskeytown</t>
  </si>
  <si>
    <t>Milner Hydro</t>
  </si>
  <si>
    <t>Black Butte</t>
  </si>
  <si>
    <t>Tesla</t>
  </si>
  <si>
    <t>Skookumchuck</t>
  </si>
  <si>
    <t>Buffalo Bill</t>
  </si>
  <si>
    <t>Grizzly</t>
  </si>
  <si>
    <t>McPhee</t>
  </si>
  <si>
    <t>Towaoc</t>
  </si>
  <si>
    <t>Basalt</t>
  </si>
  <si>
    <t>Lake Mendocino</t>
  </si>
  <si>
    <t>Deadwood Creek</t>
  </si>
  <si>
    <t>Stone Creek</t>
  </si>
  <si>
    <t>McNary Dam Fish Attraction Project</t>
  </si>
  <si>
    <t>Solano Wind</t>
  </si>
  <si>
    <t>Spirit Mountain</t>
  </si>
  <si>
    <t>Causey</t>
  </si>
  <si>
    <t>H M Jackson</t>
  </si>
  <si>
    <t>El Vado Dam</t>
  </si>
  <si>
    <t>Monticello Dam</t>
  </si>
  <si>
    <t>Abiquiu Dam</t>
  </si>
  <si>
    <t>Snoqualmie 2</t>
  </si>
  <si>
    <t>Pine Flat</t>
  </si>
  <si>
    <t>Kern Canyon</t>
  </si>
  <si>
    <t>Diamond Valley Lake</t>
  </si>
  <si>
    <t>Hoover Dam (AZ)</t>
  </si>
  <si>
    <t>Dinosaur Point</t>
  </si>
  <si>
    <t>Little Mac Project</t>
  </si>
  <si>
    <t>Foothills Hydro Plant</t>
  </si>
  <si>
    <t>Strontia Springs Hydro Plant</t>
  </si>
  <si>
    <t>Gosselin Hydro Plant</t>
  </si>
  <si>
    <t>South Dry Creek Hydro</t>
  </si>
  <si>
    <t>Isabella Hydro Project</t>
  </si>
  <si>
    <t>Birch Creek Power</t>
  </si>
  <si>
    <t>Whitewater Hydro Plant</t>
  </si>
  <si>
    <t>Tulare Success Power Project</t>
  </si>
  <si>
    <t>Haypress</t>
  </si>
  <si>
    <t>Big Creek Water Works</t>
  </si>
  <si>
    <t>South Forks Hydro</t>
  </si>
  <si>
    <t>Copper Dam Plant</t>
  </si>
  <si>
    <t>Peters Drive Plant</t>
  </si>
  <si>
    <t>Mink Creek Hydro</t>
  </si>
  <si>
    <t>Dillon Hydro Plant</t>
  </si>
  <si>
    <t>Williams Fork Hydro Plant</t>
  </si>
  <si>
    <t>North Fork Hydro Plant</t>
  </si>
  <si>
    <t>Gross Hydro Plant</t>
  </si>
  <si>
    <t>Sunray 2</t>
  </si>
  <si>
    <t>Sunray 3</t>
  </si>
  <si>
    <t>Muck Valley Hydroelectric</t>
  </si>
  <si>
    <t>Cameron Ridge LLC</t>
  </si>
  <si>
    <t>Ridgetop Energy LLC</t>
  </si>
  <si>
    <t>Cove Hydroelectric</t>
  </si>
  <si>
    <t>Lost Creek I</t>
  </si>
  <si>
    <t>Ponderosa Bailey Creek</t>
  </si>
  <si>
    <t>Karen Avenue Wind Farm</t>
  </si>
  <si>
    <t>Barber Dam</t>
  </si>
  <si>
    <t>Sprague Hydro</t>
  </si>
  <si>
    <t>Magic Dam Hydroelectric Project</t>
  </si>
  <si>
    <t>Koyle Ranch Hydroelectric Project</t>
  </si>
  <si>
    <t>Crystal Springs</t>
  </si>
  <si>
    <t>Dietrich Drop</t>
  </si>
  <si>
    <t>Low Line Rapids</t>
  </si>
  <si>
    <t>Rock Creek II</t>
  </si>
  <si>
    <t>Rio Bravo Hydro Project</t>
  </si>
  <si>
    <t>Santa Felicia Dam</t>
  </si>
  <si>
    <t>Sheep Creek Hydro</t>
  </si>
  <si>
    <t>Indian Valley Dam Hydro Project</t>
  </si>
  <si>
    <t>Bear Creek (CA)</t>
  </si>
  <si>
    <t>Box Canyon Dam</t>
  </si>
  <si>
    <t>Olsen</t>
  </si>
  <si>
    <t>Vallecito Hydroelectric</t>
  </si>
  <si>
    <t>Woodward Power Plant</t>
  </si>
  <si>
    <t>Frankenheimer Power Plant</t>
  </si>
  <si>
    <t>Nelson Creek</t>
  </si>
  <si>
    <t>San Dimas Wash Generating Station</t>
  </si>
  <si>
    <t>New Lahontan</t>
  </si>
  <si>
    <t>Redlands Water &amp; Power</t>
  </si>
  <si>
    <t>Wintec Energy Ltd</t>
  </si>
  <si>
    <t>San Gorgonio Farms Wind Farm</t>
  </si>
  <si>
    <t>Site 980 65</t>
  </si>
  <si>
    <t>Marco Ranch</t>
  </si>
  <si>
    <t>Forks of Butte Hydro Project</t>
  </si>
  <si>
    <t>Nacimiento Hydro Project</t>
  </si>
  <si>
    <t>Michell Butte Power Project</t>
  </si>
  <si>
    <t>Owyhee Dam Power Project</t>
  </si>
  <si>
    <t>Tunnel 1 Power Project</t>
  </si>
  <si>
    <t>East Portal Generator</t>
  </si>
  <si>
    <t>Upriver Dam Hydro Plant</t>
  </si>
  <si>
    <t>Twin Reservoirs</t>
  </si>
  <si>
    <t>Friant Hydro Facility</t>
  </si>
  <si>
    <t>Sand Bar Power Plant</t>
  </si>
  <si>
    <t>Orchard Avenue 1</t>
  </si>
  <si>
    <t>Cowiche</t>
  </si>
  <si>
    <t>Sugarloaf Hydro Plant</t>
  </si>
  <si>
    <t>Victory Garden (Tehachapi)</t>
  </si>
  <si>
    <t>Painted Hills Wind Park</t>
  </si>
  <si>
    <t>Port Townsend Paper</t>
  </si>
  <si>
    <t>Bowman</t>
  </si>
  <si>
    <t>Salka Cabazon Wind</t>
  </si>
  <si>
    <t>Edom Hills Project 1 LLC</t>
  </si>
  <si>
    <t>San Gorgonio Westwinds II LLC</t>
  </si>
  <si>
    <t>Lilliwaup Falls Generating</t>
  </si>
  <si>
    <t>GeoBon II</t>
  </si>
  <si>
    <t>Oak Creek Energy Systems I</t>
  </si>
  <si>
    <t>New Hogan Power Plant</t>
  </si>
  <si>
    <t>Stillwater Facility</t>
  </si>
  <si>
    <t>East Winds Project</t>
  </si>
  <si>
    <t>Mojave 16/17/18</t>
  </si>
  <si>
    <t>Twin Falls Hydro</t>
  </si>
  <si>
    <t>Rock Creek LP</t>
  </si>
  <si>
    <t>Bypass</t>
  </si>
  <si>
    <t>S E Hazelton A</t>
  </si>
  <si>
    <t>Galesville Project</t>
  </si>
  <si>
    <t>Slate Creek</t>
  </si>
  <si>
    <t>Marsh Valley Development</t>
  </si>
  <si>
    <t>Siphon Power Project</t>
  </si>
  <si>
    <t>Rock Creek I</t>
  </si>
  <si>
    <t>Quail Creek Hydro Plant #1</t>
  </si>
  <si>
    <t>Mojave 3/4/5</t>
  </si>
  <si>
    <t>Lacomb Irrigation District</t>
  </si>
  <si>
    <t>85 A</t>
  </si>
  <si>
    <t>85 B</t>
  </si>
  <si>
    <t>Falls Creek</t>
  </si>
  <si>
    <t>Broadwater Power Project</t>
  </si>
  <si>
    <t>San Gabriel Hydro Project</t>
  </si>
  <si>
    <t>Second Imperial Geothermal</t>
  </si>
  <si>
    <t>Hillcrest Pump Station</t>
  </si>
  <si>
    <t>Opal Springs Hydro</t>
  </si>
  <si>
    <t>Warm Springs Hydro Project</t>
  </si>
  <si>
    <t>Koma Kulshan</t>
  </si>
  <si>
    <t>Coram Energy LLC (ECT)</t>
  </si>
  <si>
    <t>Coram Energy LLC (4.5MW)</t>
  </si>
  <si>
    <t>Wilson Lake Hydroelectric Project</t>
  </si>
  <si>
    <t>Three Forks Water Power Project</t>
  </si>
  <si>
    <t>Terminus Hydroelectric Project</t>
  </si>
  <si>
    <t>Little Wood Hydro Project</t>
  </si>
  <si>
    <t>Weeks Falls</t>
  </si>
  <si>
    <t>Dry Creek Project</t>
  </si>
  <si>
    <t>EDF Renewable Windfarm V Inc</t>
  </si>
  <si>
    <t>San Gorgonio Windplant WPP1993</t>
  </si>
  <si>
    <t>Blind Canyon Hydro</t>
  </si>
  <si>
    <t>Horseshoe Bend Hydroelectric Co</t>
  </si>
  <si>
    <t>Spicer Meadow Project</t>
  </si>
  <si>
    <t>Collierville Powerhouse</t>
  </si>
  <si>
    <t>Hazelton B Hydro</t>
  </si>
  <si>
    <t>TPC Windfarms LLC</t>
  </si>
  <si>
    <t>Kekawaka Power House</t>
  </si>
  <si>
    <t>Steamboat II</t>
  </si>
  <si>
    <t>Falls River Hydro</t>
  </si>
  <si>
    <t>Ford Hydro LP</t>
  </si>
  <si>
    <t>Boulder City Lakewood Hydro</t>
  </si>
  <si>
    <t>Boulder City Betasso Hydro Plant</t>
  </si>
  <si>
    <t>Difwind Farms Ltd VI</t>
  </si>
  <si>
    <t>Warm Springs Power Enterprises</t>
  </si>
  <si>
    <t>Taylor Draw Hydroelectric Facility</t>
  </si>
  <si>
    <t>Coram Tehachapi</t>
  </si>
  <si>
    <t>Lateral 10 Ventures</t>
  </si>
  <si>
    <t>Mile 28 Water Power Project</t>
  </si>
  <si>
    <t>Black Creek</t>
  </si>
  <si>
    <t>Tehachapi Wind Resource II</t>
  </si>
  <si>
    <t>Ridgetop</t>
  </si>
  <si>
    <t>Montgomery Creek Hydro</t>
  </si>
  <si>
    <t>Vansycle</t>
  </si>
  <si>
    <t>Phoenix Wind Power LLC</t>
  </si>
  <si>
    <t>FPL Energy Vansycle LLC (WA)</t>
  </si>
  <si>
    <t>Foote Creek I</t>
  </si>
  <si>
    <t>Foote Creek III</t>
  </si>
  <si>
    <t>Foote Creek IV</t>
  </si>
  <si>
    <t>Mountain View I &amp; II</t>
  </si>
  <si>
    <t>Ridge Crest Wind Partners</t>
  </si>
  <si>
    <t>Boulder City Silver Lake Hydro</t>
  </si>
  <si>
    <t>Cabazon Wind Partners</t>
  </si>
  <si>
    <t>Whitewater Hill Wind Partners</t>
  </si>
  <si>
    <t>High Winds LLC</t>
  </si>
  <si>
    <t>TransAlta Wyoming Wind</t>
  </si>
  <si>
    <t>Mountain View III</t>
  </si>
  <si>
    <t>Springville Hydroelectric</t>
  </si>
  <si>
    <t>Colorado Green Holdings LLC</t>
  </si>
  <si>
    <t>Diablo Winds LLC</t>
  </si>
  <si>
    <t>Helzel &amp; Schwarzhoff 86</t>
  </si>
  <si>
    <t>ZCO</t>
  </si>
  <si>
    <t>Kumeyaay Wind</t>
  </si>
  <si>
    <t>Wolverine Creek</t>
  </si>
  <si>
    <t>Oasis Wind</t>
  </si>
  <si>
    <t>Fossil Gulch</t>
  </si>
  <si>
    <t>Spring Canyon</t>
  </si>
  <si>
    <t>Judith Gap Wind Energy Center</t>
  </si>
  <si>
    <t>Nevada Solar One</t>
  </si>
  <si>
    <t>Pine Tree Wind Power Project</t>
  </si>
  <si>
    <t>Burley Butte Windpark</t>
  </si>
  <si>
    <t>Golden Valley Wind Park LLC</t>
  </si>
  <si>
    <t>Milner Dam Wind Park LLC</t>
  </si>
  <si>
    <t>Oregon Trail Wind Park</t>
  </si>
  <si>
    <t>Pilgrim Stage Wind Park</t>
  </si>
  <si>
    <t>Salmon Falls Wind Park</t>
  </si>
  <si>
    <t>Thousand Springs Wind Park</t>
  </si>
  <si>
    <t>Tuana Gulch Wind Park</t>
  </si>
  <si>
    <t>Twin Buttes Wind Project</t>
  </si>
  <si>
    <t>SunE Alamosa</t>
  </si>
  <si>
    <t>Mora Drop Hydroelectric Project</t>
  </si>
  <si>
    <t>Tiber Dam Hydroelectric Plant</t>
  </si>
  <si>
    <t>Western 102 Power Plant</t>
  </si>
  <si>
    <t>Peetz Table Wind Energy</t>
  </si>
  <si>
    <t>Nellis Air Force Base Solar Array</t>
  </si>
  <si>
    <t>Terra-Gen VG Wind LLC</t>
  </si>
  <si>
    <t>Logan Wind Energy</t>
  </si>
  <si>
    <t>Rancho Penasquitos</t>
  </si>
  <si>
    <t>Mountain Home</t>
  </si>
  <si>
    <t>Bennett Creek Windfarm LLC - Mountain Home</t>
  </si>
  <si>
    <t>Hatchet Ridge Wind Project</t>
  </si>
  <si>
    <t>Spanish Fork Wind Park 2 LLC</t>
  </si>
  <si>
    <t>Mountain Wind Power LLC</t>
  </si>
  <si>
    <t>Mountain Wind Power II LLC</t>
  </si>
  <si>
    <t>CalRenew-1</t>
  </si>
  <si>
    <t>Dillon Wind LLC</t>
  </si>
  <si>
    <t>CSU Fresno Solar Project</t>
  </si>
  <si>
    <t>Denver Int Airport</t>
  </si>
  <si>
    <t>Wheat Field Wind Power Project</t>
  </si>
  <si>
    <t>Bolthouse S&amp;P and Rowen Farms Solar</t>
  </si>
  <si>
    <t>Shiloh Wind Project 2 LLC</t>
  </si>
  <si>
    <t>Chester Diversion Hydroelectric Project</t>
  </si>
  <si>
    <t>Gap Pacific Distribution Center</t>
  </si>
  <si>
    <t>Imperial Valley Solar, LLC</t>
  </si>
  <si>
    <t>WWRF Solar Plant</t>
  </si>
  <si>
    <t>Threemile Canyon</t>
  </si>
  <si>
    <t>Cassia Wind</t>
  </si>
  <si>
    <t>Cassia Gulch</t>
  </si>
  <si>
    <t>Solar Blythe LLC</t>
  </si>
  <si>
    <t>Happy Jack Windpower Project</t>
  </si>
  <si>
    <t>Butter Creek Power LLC</t>
  </si>
  <si>
    <t>Big Top LLC</t>
  </si>
  <si>
    <t>Four Corners Windfarm LLC</t>
  </si>
  <si>
    <t>Four Mile Canyon Windfarm LLC</t>
  </si>
  <si>
    <t>Oregon Trail Windfarm LLC</t>
  </si>
  <si>
    <t>Pacific Canyon Windfarm LLC</t>
  </si>
  <si>
    <t>Sand Ranch Windfarm LLC</t>
  </si>
  <si>
    <t>Wagon Trail LLC</t>
  </si>
  <si>
    <t>Ward Butte Windfarm LLC</t>
  </si>
  <si>
    <t>Arrowrock Hydroelectric Project</t>
  </si>
  <si>
    <t>SunEdison Walgreens Moreno Valley</t>
  </si>
  <si>
    <t>Mariani Packing Vacaville Solar</t>
  </si>
  <si>
    <t>Walgreens Woodland Distribution Center</t>
  </si>
  <si>
    <t>SunEdison Ironwood State Prison</t>
  </si>
  <si>
    <t>SunEdison Procter &amp; Gamble Oxnard</t>
  </si>
  <si>
    <t>Kohls San Bernardino Solar Facility</t>
  </si>
  <si>
    <t>SunEdison Anheuser Busch Fairfield</t>
  </si>
  <si>
    <t>Chuckawalla Valley State Prison</t>
  </si>
  <si>
    <t>SunEdison Walmart Apple Valley DC</t>
  </si>
  <si>
    <t>McFadden Ridge</t>
  </si>
  <si>
    <t>Vaca Dixon Solar Station</t>
  </si>
  <si>
    <t>Silver Sage Windpower</t>
  </si>
  <si>
    <t>Casper Wind Farm</t>
  </si>
  <si>
    <t>Dry Lake Wind LLC</t>
  </si>
  <si>
    <t>Payne's Ferry</t>
  </si>
  <si>
    <t>Camp Reed</t>
  </si>
  <si>
    <t>Yahoo Creek</t>
  </si>
  <si>
    <t>Tuana Springs</t>
  </si>
  <si>
    <t>RV CSU Power LLC</t>
  </si>
  <si>
    <t>Colorado Highlands Wind</t>
  </si>
  <si>
    <t>Spring Valley Wind Project</t>
  </si>
  <si>
    <t>FPL Energy Montezuma Winds LLC</t>
  </si>
  <si>
    <t>Cedar Creek II</t>
  </si>
  <si>
    <t>Solar Photovoltaic Project #08</t>
  </si>
  <si>
    <t>Solar Photovoltaic Project #09</t>
  </si>
  <si>
    <t>Solar Photovoltaic Project #10</t>
  </si>
  <si>
    <t>Solar Photovoltaic Project #17</t>
  </si>
  <si>
    <t>Solar Photovoltaic Project #18</t>
  </si>
  <si>
    <t>Solar Photovoltaic Project #23</t>
  </si>
  <si>
    <t>Cimarron Solar Facility</t>
  </si>
  <si>
    <t>Kit Carson Windpower</t>
  </si>
  <si>
    <t>Solar Photovoltaic Project #27</t>
  </si>
  <si>
    <t>Solar Photovoltaic Project #28</t>
  </si>
  <si>
    <t>Crescent Dunes Solar Energy</t>
  </si>
  <si>
    <t>Alta Wind Energy Center I</t>
  </si>
  <si>
    <t>Northern Colorado Wind LLC</t>
  </si>
  <si>
    <t>Alta Wind Energy Center II</t>
  </si>
  <si>
    <t>Alta Wind Energy Center III</t>
  </si>
  <si>
    <t>Alta Wind Energy Center IV</t>
  </si>
  <si>
    <t>Alta Wind Energy Center V</t>
  </si>
  <si>
    <t>Alpine Solar</t>
  </si>
  <si>
    <t>Garnet Wind Energy Center</t>
  </si>
  <si>
    <t>Adelanto Solar Project</t>
  </si>
  <si>
    <t>Pine Tree Solar Project</t>
  </si>
  <si>
    <t>Maclay Solar Project</t>
  </si>
  <si>
    <t>Pacific Cruise Ship Terminals Berth 93</t>
  </si>
  <si>
    <t>Occidental College Solar Project</t>
  </si>
  <si>
    <t>Metro Support Services Center Solar</t>
  </si>
  <si>
    <t>Los Angeles Harbor College</t>
  </si>
  <si>
    <t>Cedar Point Wind</t>
  </si>
  <si>
    <t>San Luis Valley Solar Ranch</t>
  </si>
  <si>
    <t>Poseidon Solar, LLC</t>
  </si>
  <si>
    <t>Mojave Solar Project</t>
  </si>
  <si>
    <t>Roadrunner Solar</t>
  </si>
  <si>
    <t>Panoche Valley Solar Farm</t>
  </si>
  <si>
    <t>Avenal Park</t>
  </si>
  <si>
    <t>Sun City Project LLC</t>
  </si>
  <si>
    <t>Sand Drag LLC</t>
  </si>
  <si>
    <t>Siphon Drop Power Plant</t>
  </si>
  <si>
    <t>Questa Solar Facility</t>
  </si>
  <si>
    <t>AV Solar Ranch One</t>
  </si>
  <si>
    <t>Poseidon Wind, LLC</t>
  </si>
  <si>
    <t>UASTP I</t>
  </si>
  <si>
    <t>Genesis Solar Energy Project</t>
  </si>
  <si>
    <t>Yolo County Solar Project</t>
  </si>
  <si>
    <t>Buffalo Ridge II LLC</t>
  </si>
  <si>
    <t>Ryegrass Windfarm</t>
  </si>
  <si>
    <t>Hammett Hill Windfarm</t>
  </si>
  <si>
    <t>Mainline Windfarm</t>
  </si>
  <si>
    <t>Desert Meadow Windfarm</t>
  </si>
  <si>
    <t>Cold Springs Windfarm</t>
  </si>
  <si>
    <t>California Valley Solar Ranch</t>
  </si>
  <si>
    <t>Solar Photovoltaic Project #42</t>
  </si>
  <si>
    <t>Silver State Solar Power North</t>
  </si>
  <si>
    <t>Two Ponds Windfarm</t>
  </si>
  <si>
    <t>Solar Borrego I</t>
  </si>
  <si>
    <t>Mountain View IV</t>
  </si>
  <si>
    <t>Manzana Wind LLC</t>
  </si>
  <si>
    <t>Imperial Solar Energy Center South</t>
  </si>
  <si>
    <t>Imperial Solar Energy Center West</t>
  </si>
  <si>
    <t>Stroud Solar Station</t>
  </si>
  <si>
    <t>Five Points Solar Station</t>
  </si>
  <si>
    <t>Westside Solar Station</t>
  </si>
  <si>
    <t>FRV SI Transport Solar LP</t>
  </si>
  <si>
    <t>RV CSU Power II LLC</t>
  </si>
  <si>
    <t>Carson Solar I</t>
  </si>
  <si>
    <t>Ocotillo Express LLC</t>
  </si>
  <si>
    <t>Giffen</t>
  </si>
  <si>
    <t>Cantua Solar Station</t>
  </si>
  <si>
    <t>Huron Solar Station</t>
  </si>
  <si>
    <t>Roger Road WWTP</t>
  </si>
  <si>
    <t>Garland Canal Power Plant</t>
  </si>
  <si>
    <t>AFA Solar Farm</t>
  </si>
  <si>
    <t>La Senita</t>
  </si>
  <si>
    <t>Sunset Reservoir North Basin</t>
  </si>
  <si>
    <t>Albuquerque Solar Energy Center</t>
  </si>
  <si>
    <t>Los Lunas Solar Energy Center</t>
  </si>
  <si>
    <t>Deming Solar Energy Center</t>
  </si>
  <si>
    <t>Las Vegas Solar Energy Center</t>
  </si>
  <si>
    <t>Alamogordo Solar Energy Center</t>
  </si>
  <si>
    <t>PaTu Wind Farm LLC</t>
  </si>
  <si>
    <t>Robert O Schulz Solar Farm</t>
  </si>
  <si>
    <t>Broadridge Cogen</t>
  </si>
  <si>
    <t>Shiloh III Wind Project LLC</t>
  </si>
  <si>
    <t>Hatch Solar Energy Center I, LLC</t>
  </si>
  <si>
    <t>Teichert Materials-Teichert Vernalis</t>
  </si>
  <si>
    <t>Rising Tree Wind Farm</t>
  </si>
  <si>
    <t>Foundation ST</t>
  </si>
  <si>
    <t>Vestas Towers America, Inc.</t>
  </si>
  <si>
    <t>City &amp; County of Denver at Denver Int'l</t>
  </si>
  <si>
    <t>Regulus Solar Project</t>
  </si>
  <si>
    <t>Adobe Solar</t>
  </si>
  <si>
    <t>Yamhill Solar LLC</t>
  </si>
  <si>
    <t>Bakersfield College Solar 01</t>
  </si>
  <si>
    <t>Temescal Canyon RV, LLC</t>
  </si>
  <si>
    <t>Avra Valley Solar</t>
  </si>
  <si>
    <t>SMUD at Grundman</t>
  </si>
  <si>
    <t>SMUD at Van Conett</t>
  </si>
  <si>
    <t>SMUD at Fleshman</t>
  </si>
  <si>
    <t>Macys Goodyear</t>
  </si>
  <si>
    <t>City of Boulder WWTP</t>
  </si>
  <si>
    <t>City of Madera WWTP</t>
  </si>
  <si>
    <t>Staples La Mirada, CA</t>
  </si>
  <si>
    <t>Turnbull Hydro</t>
  </si>
  <si>
    <t>Topaz Solar Farm</t>
  </si>
  <si>
    <t>Aerojet I</t>
  </si>
  <si>
    <t>Aerojet II</t>
  </si>
  <si>
    <t>Vasco Winds</t>
  </si>
  <si>
    <t>Montezuma Wind II</t>
  </si>
  <si>
    <t>Catalina Solar LLC</t>
  </si>
  <si>
    <t>North Palm Springs 4A</t>
  </si>
  <si>
    <t>Shiloh IV Wind Project LLC</t>
  </si>
  <si>
    <t>Lake Hodges Hydroelectric Facility</t>
  </si>
  <si>
    <t>SPS1 Dollarhide</t>
  </si>
  <si>
    <t>SPS2 Jal</t>
  </si>
  <si>
    <t>SPS3 Lea</t>
  </si>
  <si>
    <t>SPS4 Monument</t>
  </si>
  <si>
    <t>SPS5 Hopi</t>
  </si>
  <si>
    <t>North Palm Springs 1A</t>
  </si>
  <si>
    <t>Gordon Butte Wind LLC</t>
  </si>
  <si>
    <t>Sawtooth Wind Project</t>
  </si>
  <si>
    <t>SMUD at Lawrence</t>
  </si>
  <si>
    <t>Pacific Wind LLC</t>
  </si>
  <si>
    <t>Power County Wind Park South</t>
  </si>
  <si>
    <t>Power County Wind Park North</t>
  </si>
  <si>
    <t>Youngs Creek Hydroelectric Project</t>
  </si>
  <si>
    <t>Naval Air Weapons Station China Lake</t>
  </si>
  <si>
    <t>Arizona Western College PV</t>
  </si>
  <si>
    <t>Palo Verde College</t>
  </si>
  <si>
    <t>Windstar 1</t>
  </si>
  <si>
    <t>Kingman 1</t>
  </si>
  <si>
    <t>RE Dillard 1 LLC</t>
  </si>
  <si>
    <t>RE Kammerer 1 LLC</t>
  </si>
  <si>
    <t>RE Dillard 2 LLC</t>
  </si>
  <si>
    <t>RE Kammerer 2 LLC</t>
  </si>
  <si>
    <t>RE Dillard 3 LLC</t>
  </si>
  <si>
    <t>RE Kammerer 3 LLC</t>
  </si>
  <si>
    <t>RE Bruceville 1 LLC</t>
  </si>
  <si>
    <t>RE Bruceville 2 LLC</t>
  </si>
  <si>
    <t>RE Bruceville 3 LLC</t>
  </si>
  <si>
    <t>Foundation AB</t>
  </si>
  <si>
    <t>Foundation IE</t>
  </si>
  <si>
    <t>Golden Springs Building C-1</t>
  </si>
  <si>
    <t>Golden Springs Building D</t>
  </si>
  <si>
    <t>Lime Wind</t>
  </si>
  <si>
    <t xml:space="preserve">Dillard 4 LLC </t>
  </si>
  <si>
    <t>RE McKenzie 1 LLC</t>
  </si>
  <si>
    <t>RE McKenzie 2 LLC</t>
  </si>
  <si>
    <t>RE McKenzie 3 LLC</t>
  </si>
  <si>
    <t>RE McKenzie 4 LLC</t>
  </si>
  <si>
    <t>RE McKenzie 5 LLC</t>
  </si>
  <si>
    <t>RE McKenzie 6 LLC</t>
  </si>
  <si>
    <t>Dinuba Wastewater Treatment Plant</t>
  </si>
  <si>
    <t>Heliocentric</t>
  </si>
  <si>
    <t>Mustang Hills LLC</t>
  </si>
  <si>
    <t>Pinyon Pine I</t>
  </si>
  <si>
    <t>Alta Wind VIII</t>
  </si>
  <si>
    <t>L-8 Solar Project</t>
  </si>
  <si>
    <t>Pinyon Pine II</t>
  </si>
  <si>
    <t>ISH Solar Hospital SDMC</t>
  </si>
  <si>
    <t>ISH Solar Hospital Downey</t>
  </si>
  <si>
    <t>Green Acres Solar Facility 1</t>
  </si>
  <si>
    <t>Green Acres Solar Facility 2</t>
  </si>
  <si>
    <t>North Hollywood</t>
  </si>
  <si>
    <t>Univ of California San Diego Solar</t>
  </si>
  <si>
    <t>Industry MetroLink PV 1</t>
  </si>
  <si>
    <t>Castle Rock Vineyards</t>
  </si>
  <si>
    <t>Baldock Solar Highway</t>
  </si>
  <si>
    <t>Queen Creek Solar Farm</t>
  </si>
  <si>
    <t>Guernsey Solar Station</t>
  </si>
  <si>
    <t>Gates Solar Station</t>
  </si>
  <si>
    <t>Improvement Dst No. 4</t>
  </si>
  <si>
    <t>San Antonio West Solar Rooftop</t>
  </si>
  <si>
    <t>Tule Wind LLC</t>
  </si>
  <si>
    <t>Solar Star California II LLC</t>
  </si>
  <si>
    <t>Macho Springs Power I</t>
  </si>
  <si>
    <t>Desert Green Solar Farm LLC</t>
  </si>
  <si>
    <t>Brookfield Tehachapi 1</t>
  </si>
  <si>
    <t>Musselshell Wind Project</t>
  </si>
  <si>
    <t>Musselshell Wind Project Two LLC</t>
  </si>
  <si>
    <t>Butte College Main Campus Solar</t>
  </si>
  <si>
    <t>Busch Ranch Wind Energy</t>
  </si>
  <si>
    <t>Meridian Vineyards</t>
  </si>
  <si>
    <t>SunE EPE2 LLC</t>
  </si>
  <si>
    <t>SunE EPE1 LLC</t>
  </si>
  <si>
    <t>Desert Sunlight 300, LLC</t>
  </si>
  <si>
    <t>Alpaugh North</t>
  </si>
  <si>
    <t>Alpaugh 50</t>
  </si>
  <si>
    <t>Salt Palace Solar Gen Plant</t>
  </si>
  <si>
    <t>IKEA Tejon 345</t>
  </si>
  <si>
    <t>Nickel 1 Solar Facility</t>
  </si>
  <si>
    <t>Buckeye Union HS District 201</t>
  </si>
  <si>
    <t>Axium Modesto Solar</t>
  </si>
  <si>
    <t>Black Mountain Solar LLC</t>
  </si>
  <si>
    <t>Irwindale Brew Yard, LLC</t>
  </si>
  <si>
    <t>Imperial Valley Solar Company 1 LLC</t>
  </si>
  <si>
    <t>SEPV 1</t>
  </si>
  <si>
    <t>SEPV 2</t>
  </si>
  <si>
    <t>Edwards Air Force Base</t>
  </si>
  <si>
    <t>Intel Folsom</t>
  </si>
  <si>
    <t>Foundation Cemex River Plant</t>
  </si>
  <si>
    <t>Foundation Cemex BMQ</t>
  </si>
  <si>
    <t>Foundation Superior Farms</t>
  </si>
  <si>
    <t>Foundation Wal-Mart Red Bluff</t>
  </si>
  <si>
    <t>Meadow Creek Project Company</t>
  </si>
  <si>
    <t>Foundation Cemex Madison</t>
  </si>
  <si>
    <t>Foundation RRM</t>
  </si>
  <si>
    <t>Foundation NWNA</t>
  </si>
  <si>
    <t>La Joya Del Sol</t>
  </si>
  <si>
    <t>Depot Park Solar System</t>
  </si>
  <si>
    <t>Limon Wind I</t>
  </si>
  <si>
    <t>Limon Wind II</t>
  </si>
  <si>
    <t>Outback Solar At Christmas Valley</t>
  </si>
  <si>
    <t>RE Kansas South LLC</t>
  </si>
  <si>
    <t>TA-High Desert LLC</t>
  </si>
  <si>
    <t>Black Cap Solar Plant</t>
  </si>
  <si>
    <t>North Sky River Energy LLC</t>
  </si>
  <si>
    <t>Prairie Fire</t>
  </si>
  <si>
    <t>RE Victor Phelan Solar One LLC</t>
  </si>
  <si>
    <t>Grassland 3&amp;4 Solar Project</t>
  </si>
  <si>
    <t>West Gates Solar Station</t>
  </si>
  <si>
    <t>Grassland 1&amp;2 Solar Project</t>
  </si>
  <si>
    <t>Spion Kop Wind Farm</t>
  </si>
  <si>
    <t>Newberry Solar 1 LLC</t>
  </si>
  <si>
    <t>SEPV9 Power Plant</t>
  </si>
  <si>
    <t>Tahquitz High School</t>
  </si>
  <si>
    <t>Wagner Wind LLC</t>
  </si>
  <si>
    <t>SEPV 8</t>
  </si>
  <si>
    <t>Kit Carson</t>
  </si>
  <si>
    <t>West Valley High School Solar</t>
  </si>
  <si>
    <t>Pierce College</t>
  </si>
  <si>
    <t>VA Sepulveda Ambulatory Care Center</t>
  </si>
  <si>
    <t>CBS Television City</t>
  </si>
  <si>
    <t>Los Alamos PV Site</t>
  </si>
  <si>
    <t>FAA NorCal TRACON</t>
  </si>
  <si>
    <t>Venable Solar 1</t>
  </si>
  <si>
    <t>Venable Solar 2</t>
  </si>
  <si>
    <t>Jewish Community Center PV</t>
  </si>
  <si>
    <t>Paradise Valley H.S. PV</t>
  </si>
  <si>
    <t>Kingsburg Solar</t>
  </si>
  <si>
    <t>Exeter Solar</t>
  </si>
  <si>
    <t>Ivanhoe Solar</t>
  </si>
  <si>
    <t>Lindsay Solar</t>
  </si>
  <si>
    <t>Porterville Solar</t>
  </si>
  <si>
    <t>Radiance Solar 4</t>
  </si>
  <si>
    <t>Radiance Solar 5</t>
  </si>
  <si>
    <t>Atwell Island</t>
  </si>
  <si>
    <t>Gridley Main</t>
  </si>
  <si>
    <t>Gridley Main Two</t>
  </si>
  <si>
    <t>White River Solar</t>
  </si>
  <si>
    <t>Corcoran Solar</t>
  </si>
  <si>
    <t>Oakley Solar Project</t>
  </si>
  <si>
    <t>Fargo Drop</t>
  </si>
  <si>
    <t>Solar Star 1</t>
  </si>
  <si>
    <t>Solar Star 2</t>
  </si>
  <si>
    <t>Flint Creek Hydroelectric LLC</t>
  </si>
  <si>
    <t>Alta Wind X</t>
  </si>
  <si>
    <t>Alta Wind XI</t>
  </si>
  <si>
    <t>Heber Solar</t>
  </si>
  <si>
    <t>Lone Valley Solar Park I LLC</t>
  </si>
  <si>
    <t>Victor Dry Farm Ranch A</t>
  </si>
  <si>
    <t>Victor Dry Farm Ranch B</t>
  </si>
  <si>
    <t>CSU Northridge Plant</t>
  </si>
  <si>
    <t>Centinela Solar Energy</t>
  </si>
  <si>
    <t>Swauk Wind LLC</t>
  </si>
  <si>
    <t>Arrache 4006</t>
  </si>
  <si>
    <t>Arrache 4013</t>
  </si>
  <si>
    <t>Arrache 8083</t>
  </si>
  <si>
    <t>Nunn</t>
  </si>
  <si>
    <t>Rutan</t>
  </si>
  <si>
    <t>Vinam</t>
  </si>
  <si>
    <t>Ma</t>
  </si>
  <si>
    <t>Horn</t>
  </si>
  <si>
    <t>Watts 3115</t>
  </si>
  <si>
    <t>45 Mile Hydroelectric Project</t>
  </si>
  <si>
    <t>McCoy Solar Energy Project Hybrid</t>
  </si>
  <si>
    <t>Campo Verde Solar</t>
  </si>
  <si>
    <t>C-Drop Hydro</t>
  </si>
  <si>
    <t>Las Vegas WPCF Solar Plant</t>
  </si>
  <si>
    <t>SEV NM Phase 2</t>
  </si>
  <si>
    <t>CSU Pueblo</t>
  </si>
  <si>
    <t>Picture Rocks Solar, LLC</t>
  </si>
  <si>
    <t>Apex Solar PV Power Project</t>
  </si>
  <si>
    <t>Spectrum Solar PV Power Project</t>
  </si>
  <si>
    <t>RE Rosamond One LLC</t>
  </si>
  <si>
    <t>RE Rosamond Two LLC</t>
  </si>
  <si>
    <t>RE Rio Grande Solar LLC</t>
  </si>
  <si>
    <t>RE Columbia 3 LLC</t>
  </si>
  <si>
    <t>Chuckawalla Solar</t>
  </si>
  <si>
    <t>Bear Creek Solar (CA)</t>
  </si>
  <si>
    <t>Vintner Solar</t>
  </si>
  <si>
    <t>Kettleman Solar Project</t>
  </si>
  <si>
    <t>Ironwood Solar LLC</t>
  </si>
  <si>
    <t>Desert Hot Springs Solar</t>
  </si>
  <si>
    <t>Union HS at Casa Grande</t>
  </si>
  <si>
    <t>Vista Grande HS at Casa Grande</t>
  </si>
  <si>
    <t>Otero Solar</t>
  </si>
  <si>
    <t>Manzano Solar</t>
  </si>
  <si>
    <t>Madera Community Hospital</t>
  </si>
  <si>
    <t>City of Hayward WWTP</t>
  </si>
  <si>
    <t>Crown Cooling Facility</t>
  </si>
  <si>
    <t>Garnet Solar Generation Station I LLC</t>
  </si>
  <si>
    <t>Lake Pleasant WTP</t>
  </si>
  <si>
    <t>Silver City WWTP PV Project</t>
  </si>
  <si>
    <t>Desert Sunlight 250, LLC</t>
  </si>
  <si>
    <t>Gilbert Solar Facility I, LLC</t>
  </si>
  <si>
    <t>Mountain View Solar</t>
  </si>
  <si>
    <t>Community Solar 1</t>
  </si>
  <si>
    <t>SMPA Solar 1 Community Solar</t>
  </si>
  <si>
    <t>Huerfano River Wind</t>
  </si>
  <si>
    <t>GSE NM1</t>
  </si>
  <si>
    <t>Sonora 1</t>
  </si>
  <si>
    <t>Oltmans SCE at Champagne</t>
  </si>
  <si>
    <t>Oltmans SCE at Jurupa</t>
  </si>
  <si>
    <t>Sierra Nevada Brewing Co Hybrid</t>
  </si>
  <si>
    <t>Sue Cleveland High School</t>
  </si>
  <si>
    <t>Rio Rancho High School</t>
  </si>
  <si>
    <t>Cascade Solar</t>
  </si>
  <si>
    <t>Solar Gen 2 Solar Facility</t>
  </si>
  <si>
    <t>Beryl Solar Plant</t>
  </si>
  <si>
    <t>Cedar Valley Solar Plant</t>
  </si>
  <si>
    <t>Buckhorn Solar Plant</t>
  </si>
  <si>
    <t>Milford Flat Solar Plant</t>
  </si>
  <si>
    <t>Laho Solar Plant</t>
  </si>
  <si>
    <t>Greenville Solar Plant</t>
  </si>
  <si>
    <t>Granite Peak Solar Plant</t>
  </si>
  <si>
    <t>Industry Solar Power Generation Station</t>
  </si>
  <si>
    <t>Navajo Solar Power Generation Station 1</t>
  </si>
  <si>
    <t>Powhatan Solar Power Generation Station</t>
  </si>
  <si>
    <t>Otoe Solar Power Generation Station 1 LL</t>
  </si>
  <si>
    <t>Westlands Solar PV Farm</t>
  </si>
  <si>
    <t>Sol Orchard El Centro PV</t>
  </si>
  <si>
    <t>Carter Hydro</t>
  </si>
  <si>
    <t>Western Antelope Blue Sky Ranch A</t>
  </si>
  <si>
    <t>Western Antelope Dry Ranch</t>
  </si>
  <si>
    <t>Actus Lend Lease DMAFB</t>
  </si>
  <si>
    <t>Monterey Regional Water Pollution Contro</t>
  </si>
  <si>
    <t>Lancaster Baptist Church</t>
  </si>
  <si>
    <t>Sacramento Fairbain Water Treatment Plan</t>
  </si>
  <si>
    <t>Tulare 1 and 2</t>
  </si>
  <si>
    <t>Stateline Solar</t>
  </si>
  <si>
    <t>Utah Red Hills Renewable Energy Park</t>
  </si>
  <si>
    <t>Nooksack Hydro</t>
  </si>
  <si>
    <t>Mira Loma</t>
  </si>
  <si>
    <t>Phoenix Airport East Economy Lot</t>
  </si>
  <si>
    <t>Phoenix Airport Rental Car Center</t>
  </si>
  <si>
    <t>Lost Hills/Blackwell</t>
  </si>
  <si>
    <t>Lost Hills Solar LLC</t>
  </si>
  <si>
    <t>North Star Solar</t>
  </si>
  <si>
    <t>Orion Solar I</t>
  </si>
  <si>
    <t>Orion Solar II</t>
  </si>
  <si>
    <t>North Bay Solar 1</t>
  </si>
  <si>
    <t>Lancaster Dry Farm Ranch B</t>
  </si>
  <si>
    <t>Rodeo Solar C2</t>
  </si>
  <si>
    <t>Rodeo Solar D2</t>
  </si>
  <si>
    <t>Summer Solar A2</t>
  </si>
  <si>
    <t>Summer Solar B2</t>
  </si>
  <si>
    <t>Summer Solar C2</t>
  </si>
  <si>
    <t>Summer Solar D2</t>
  </si>
  <si>
    <t>Summer North Solar</t>
  </si>
  <si>
    <t>Expressway Solar A</t>
  </si>
  <si>
    <t>Expressway Solar B</t>
  </si>
  <si>
    <t>Expressway Solar C2</t>
  </si>
  <si>
    <t>Spring Canyon Expansion Wind Energy Ctr</t>
  </si>
  <si>
    <t>South Canal Hydro-1</t>
  </si>
  <si>
    <t>South Canal Hydro-3</t>
  </si>
  <si>
    <t>Storrie Lake Solar Project</t>
  </si>
  <si>
    <t>Shasta Solar Farm</t>
  </si>
  <si>
    <t>Redcrest Solar Farm</t>
  </si>
  <si>
    <t>Cogenra - TEP</t>
  </si>
  <si>
    <t>Red Horse 2</t>
  </si>
  <si>
    <t>Gato Montes Solar, LLC</t>
  </si>
  <si>
    <t>ASTI</t>
  </si>
  <si>
    <t>Beringer</t>
  </si>
  <si>
    <t>Prosperity Energy Storage Facility Hybri</t>
  </si>
  <si>
    <t>Tri-County Water Hydropower Project</t>
  </si>
  <si>
    <t>Valley Center 1</t>
  </si>
  <si>
    <t>Valley Center 2</t>
  </si>
  <si>
    <t>Ramona 1</t>
  </si>
  <si>
    <t>Ramona 2</t>
  </si>
  <si>
    <t>Santa Fe Springs Rooftop Solar BLDG M</t>
  </si>
  <si>
    <t>Santa Fe Springs Rooftop Solar BLDG H</t>
  </si>
  <si>
    <t>2081 Terzian Solar Project</t>
  </si>
  <si>
    <t>2127 Harris Solar Project</t>
  </si>
  <si>
    <t>2097 Helton Solar Project</t>
  </si>
  <si>
    <t>Cloverdale Solar I</t>
  </si>
  <si>
    <t>Intel Folsom Phase 2</t>
  </si>
  <si>
    <t>Oregon University System OIT Klamath Fal</t>
  </si>
  <si>
    <t>Las Virgenes Municipal Water District</t>
  </si>
  <si>
    <t>Fairfield Wind</t>
  </si>
  <si>
    <t>Fort Huachuca Solar PV Project</t>
  </si>
  <si>
    <t>White River Solar 2</t>
  </si>
  <si>
    <t>Henrietta Solar Project</t>
  </si>
  <si>
    <t>RE Camelot LLC</t>
  </si>
  <si>
    <t>RE Adams East, LLC</t>
  </si>
  <si>
    <t>RE Kansas Solar, LLC</t>
  </si>
  <si>
    <t>RE Old River One, LLC</t>
  </si>
  <si>
    <t>RE Columbia Two, LLC</t>
  </si>
  <si>
    <t>RE Kent South, LLC</t>
  </si>
  <si>
    <t>Two Dot Wind Farm</t>
  </si>
  <si>
    <t>Woodmere Solar Farm</t>
  </si>
  <si>
    <t>Hayworth Solar</t>
  </si>
  <si>
    <t>Rio Rico Solar</t>
  </si>
  <si>
    <t>Vacaville</t>
  </si>
  <si>
    <t>Chopin Wind LLC</t>
  </si>
  <si>
    <t>Limon III Wind LLC</t>
  </si>
  <si>
    <t>Cottonwood Solar, LLC (Goose Lake)</t>
  </si>
  <si>
    <t>Cottonwood Solar, LLC (City of Corcoran)</t>
  </si>
  <si>
    <t>Calipatria Solar Farm</t>
  </si>
  <si>
    <t>Division 1</t>
  </si>
  <si>
    <t>Division 2</t>
  </si>
  <si>
    <t>Division 3</t>
  </si>
  <si>
    <t>Kettering Solar 1</t>
  </si>
  <si>
    <t>Kettering Solar 2</t>
  </si>
  <si>
    <t>Enerparc CA1 LLC</t>
  </si>
  <si>
    <t>CSD 2- Freedom High</t>
  </si>
  <si>
    <t>CSD 2 - Heritage High</t>
  </si>
  <si>
    <t>EAFB - North Base</t>
  </si>
  <si>
    <t>EAFB - South Base</t>
  </si>
  <si>
    <t>SDCCD - Miramar</t>
  </si>
  <si>
    <t>SDCWA - Twin Oaks</t>
  </si>
  <si>
    <t>Brighton PV Solar Plant</t>
  </si>
  <si>
    <t>RE Mustang LLC</t>
  </si>
  <si>
    <t>Lancaster Solar 1</t>
  </si>
  <si>
    <t>Avalon Solar</t>
  </si>
  <si>
    <t>Lancaster Solar 2</t>
  </si>
  <si>
    <t>Hesperia</t>
  </si>
  <si>
    <t>CID Solar, LLC</t>
  </si>
  <si>
    <t>Sterling PV 3</t>
  </si>
  <si>
    <t>Mesa PV1</t>
  </si>
  <si>
    <t>Farmersville</t>
  </si>
  <si>
    <t>Porterville 6 and 7</t>
  </si>
  <si>
    <t>Rising Tree Wind Farm II</t>
  </si>
  <si>
    <t>Rising Tree Wind Farm III</t>
  </si>
  <si>
    <t>Lone Valley Solar Park II LLC</t>
  </si>
  <si>
    <t>Eagle Springs Solar LLC</t>
  </si>
  <si>
    <t>Rio Bravo Solar 1 LLC</t>
  </si>
  <si>
    <t>Rio Bravo Solar II LLC</t>
  </si>
  <si>
    <t>Wildwood Solar II</t>
  </si>
  <si>
    <t>Lancaster Little Rock</t>
  </si>
  <si>
    <t>Merced Solar LLC</t>
  </si>
  <si>
    <t>Mission Solar LLC</t>
  </si>
  <si>
    <t>Hollister Solar LLC</t>
  </si>
  <si>
    <t>Victor Mesa Linda B2</t>
  </si>
  <si>
    <t>Victor Mesa Linda C2</t>
  </si>
  <si>
    <t>Victor Mesa Linda D2</t>
  </si>
  <si>
    <t>Victor Mesa Linda E2</t>
  </si>
  <si>
    <t>SEPV Palmdale East</t>
  </si>
  <si>
    <t>California PV Energy at ISD WWTP</t>
  </si>
  <si>
    <t>Hanford 1 and 2</t>
  </si>
  <si>
    <t>Beacon Solar Plant Site 5</t>
  </si>
  <si>
    <t>Beacon Solar Plant Site 2</t>
  </si>
  <si>
    <t>Hecate Energy Beacon Solar 1</t>
  </si>
  <si>
    <t>Hecate Energy Beacon Solar 3</t>
  </si>
  <si>
    <t>Hecate Energy Beacon Solar 4</t>
  </si>
  <si>
    <t>Pumpjack Solar I</t>
  </si>
  <si>
    <t>Sacramento (SMUD)</t>
  </si>
  <si>
    <t>Golden Acorn Casino</t>
  </si>
  <si>
    <t>City of Soledad Water Reclamation</t>
  </si>
  <si>
    <t>Taylor Farms</t>
  </si>
  <si>
    <t>Anheuser-Busch #2</t>
  </si>
  <si>
    <t>Catalina Solar 2, LLC</t>
  </si>
  <si>
    <t>Quinto Solar PV Project</t>
  </si>
  <si>
    <t>Dorena Hydro-Electric Facility</t>
  </si>
  <si>
    <t>SCE-Snowline-Duncan Road (North)</t>
  </si>
  <si>
    <t>SCE-Snowline-Duncan Road (South)</t>
  </si>
  <si>
    <t>Old Mill Solar</t>
  </si>
  <si>
    <t>Wildwood Solar I, LLC</t>
  </si>
  <si>
    <t>Enterprise Solar, LLC</t>
  </si>
  <si>
    <t>Escalante Solar I, LLC</t>
  </si>
  <si>
    <t>Escalante Solar II, LLC</t>
  </si>
  <si>
    <t>Escalante Solar III, LLC</t>
  </si>
  <si>
    <t>City of Tulare Water Facility</t>
  </si>
  <si>
    <t>Searchlight Solar</t>
  </si>
  <si>
    <t>Diamond Valley Solar Project</t>
  </si>
  <si>
    <t>Newman Solar</t>
  </si>
  <si>
    <t>Shafter Solar LLC</t>
  </si>
  <si>
    <t>Madelyn Solar, LLC</t>
  </si>
  <si>
    <t>Rudy Solar, LLC</t>
  </si>
  <si>
    <t>Mitchell Solar, LLC</t>
  </si>
  <si>
    <t>Algonquin SKIC20 Solar LLC</t>
  </si>
  <si>
    <t>Corcoran Solar 2</t>
  </si>
  <si>
    <t>Atwell Island West Solar</t>
  </si>
  <si>
    <t>Anaheim Solar Energy Plant</t>
  </si>
  <si>
    <t>SCE-Snowline-White Road (South)</t>
  </si>
  <si>
    <t>SCE-Snowline-White Road (North)</t>
  </si>
  <si>
    <t>SCE-Snowline-White Rd (Central)</t>
  </si>
  <si>
    <t>Baker Creek Hydroelectric</t>
  </si>
  <si>
    <t>Solar Las Vegas MB-1</t>
  </si>
  <si>
    <t>Sierra Solar Greenworks</t>
  </si>
  <si>
    <t>Adelanto Solar II, LLC</t>
  </si>
  <si>
    <t>Adelanto Solar, LLC</t>
  </si>
  <si>
    <t>TA-Acacia, LLC</t>
  </si>
  <si>
    <t>Valencia Solar</t>
  </si>
  <si>
    <t>Tech Park Solar</t>
  </si>
  <si>
    <t>Denver Intl Airport IV Solar</t>
  </si>
  <si>
    <t>Alamo Solar</t>
  </si>
  <si>
    <t>Ft. Churchill PV</t>
  </si>
  <si>
    <t>Apple Campus 2 PV</t>
  </si>
  <si>
    <t>Jett Creek Windfarm (Burnt River)</t>
  </si>
  <si>
    <t>Benson Creek Windfarm (Burnt River)</t>
  </si>
  <si>
    <t>Durbin Creek Windfarm (Burnt River)</t>
  </si>
  <si>
    <t>Prospector Windfarm (Burnt River)</t>
  </si>
  <si>
    <t>Willow Spring Windfarm (Burnt River)</t>
  </si>
  <si>
    <t>Giffen Solar Park</t>
  </si>
  <si>
    <t>Five Points Solar Park</t>
  </si>
  <si>
    <t>Blackwell Solar Park</t>
  </si>
  <si>
    <t>Solar Oasis LLC</t>
  </si>
  <si>
    <t>Borden Solar Farm</t>
  </si>
  <si>
    <t>Springbok Solar Farm 1</t>
  </si>
  <si>
    <t>Coronus Adelanto West 1</t>
  </si>
  <si>
    <t>Coronus Adelanto West 2</t>
  </si>
  <si>
    <t>Park Meridian #1</t>
  </si>
  <si>
    <t>Rancho Cucamonga Dist #1</t>
  </si>
  <si>
    <t>Terra Francesco</t>
  </si>
  <si>
    <t>Putah Creek Solar Farm</t>
  </si>
  <si>
    <t>Vega Solar</t>
  </si>
  <si>
    <t>Sandoval Solar Energy Center</t>
  </si>
  <si>
    <t>Springer Solar 1</t>
  </si>
  <si>
    <t>Colton Solar One, LLC</t>
  </si>
  <si>
    <t>Colton Solar Two, LLC</t>
  </si>
  <si>
    <t>Tropico Solar PV Plant</t>
  </si>
  <si>
    <t>Nicolis Solar PV Plant</t>
  </si>
  <si>
    <t>Maricopa West Solar PV, LLC</t>
  </si>
  <si>
    <t>AP North Lake I, LP</t>
  </si>
  <si>
    <t>Meadow Lake Solar Energy Center</t>
  </si>
  <si>
    <t>Cibola</t>
  </si>
  <si>
    <t>South Milford Solar Plant</t>
  </si>
  <si>
    <t>Kettleman Solar -Centaurus</t>
  </si>
  <si>
    <t>Sandstone Solar</t>
  </si>
  <si>
    <t>Coronal Lost Hills</t>
  </si>
  <si>
    <t>Forever 21 Retail, Inc.</t>
  </si>
  <si>
    <t>Nordhoff Place</t>
  </si>
  <si>
    <t>City of Truth or Consequences PV</t>
  </si>
  <si>
    <t>Comanche Solar</t>
  </si>
  <si>
    <t>Imperial Valley Solar Co (IVSC) 2, LLC</t>
  </si>
  <si>
    <t>Sun Harvest Solar NDP1</t>
  </si>
  <si>
    <t>Mt. Home Solar 1, LLC</t>
  </si>
  <si>
    <t>Pavant Solar, LLC</t>
  </si>
  <si>
    <t>Cottonwood Solar, LLC Cottonwood Carport</t>
  </si>
  <si>
    <t>Seville 1</t>
  </si>
  <si>
    <t>Seville 2</t>
  </si>
  <si>
    <t>SEPV 18</t>
  </si>
  <si>
    <t>Aspiration G</t>
  </si>
  <si>
    <t>Citizen B</t>
  </si>
  <si>
    <t>Lancaster WAD B</t>
  </si>
  <si>
    <t>SEPV Mojave West</t>
  </si>
  <si>
    <t>Sunnyside Ranch Community Solar Array</t>
  </si>
  <si>
    <t>DSH (CA) - Coalinga State Hospital</t>
  </si>
  <si>
    <t>River Mountains Solar</t>
  </si>
  <si>
    <t>CDCR (CA) - Pleasant Valley State Prison</t>
  </si>
  <si>
    <t>Pryor Mountain Wind</t>
  </si>
  <si>
    <t>Davis Monthan AFB (AZ) West Airfield</t>
  </si>
  <si>
    <t>Fiddler's Canyon #2</t>
  </si>
  <si>
    <t>Fiddler's Canyon #1</t>
  </si>
  <si>
    <t>Oregon University System Rabbit Field</t>
  </si>
  <si>
    <t>Colon PV</t>
  </si>
  <si>
    <t>Airport 1 Solar (DIA)</t>
  </si>
  <si>
    <t>Tooele Army Depot(CSG)</t>
  </si>
  <si>
    <t>Mohave Electric at Fort Mohave</t>
  </si>
  <si>
    <t>Playa Solar 1, LLC</t>
  </si>
  <si>
    <t>Springbok Solar Farm 2</t>
  </si>
  <si>
    <t>Pikes Peak Solar Garden 1 LLC CSG</t>
  </si>
  <si>
    <t>Adams Community Solar Garden LLC</t>
  </si>
  <si>
    <t>Adams Community Solar Garden III LLC</t>
  </si>
  <si>
    <t>Kingbird A Solar LLC</t>
  </si>
  <si>
    <t>Little Bear Solar 1, LLC</t>
  </si>
  <si>
    <t>Desert Quartzite</t>
  </si>
  <si>
    <t>UC Davis South Campus</t>
  </si>
  <si>
    <t>Windhub Solar A LLC</t>
  </si>
  <si>
    <t>North Rosamond Solar LLC</t>
  </si>
  <si>
    <t>Corcoran Solar 3</t>
  </si>
  <si>
    <t>Oro Loma</t>
  </si>
  <si>
    <t>SunE- E Philadelphia Ontario</t>
  </si>
  <si>
    <t>Nellis Solar PV II</t>
  </si>
  <si>
    <t>Fiddler's Canyon 3</t>
  </si>
  <si>
    <t>RE Tranquillity</t>
  </si>
  <si>
    <t>Great Valley Solar Portfolio Holdings, L</t>
  </si>
  <si>
    <t>Iron Springs Solar, LLC</t>
  </si>
  <si>
    <t>Morgan Lancaster 1</t>
  </si>
  <si>
    <t>Granite Mountain Solar West, LLC</t>
  </si>
  <si>
    <t>Granite Mountain Solar East, LLC</t>
  </si>
  <si>
    <t>Bakersfield 111</t>
  </si>
  <si>
    <t>Milford 2</t>
  </si>
  <si>
    <t>Western Antelope Blue Sky B</t>
  </si>
  <si>
    <t>North Lancaster Ranch</t>
  </si>
  <si>
    <t>Central Antelope Dry Ranch C</t>
  </si>
  <si>
    <t>Elevation Solar C</t>
  </si>
  <si>
    <t>Latigo Wind Park</t>
  </si>
  <si>
    <t>Desert Wind Farm, LLC</t>
  </si>
  <si>
    <t>Golden West Power Partners LLC</t>
  </si>
  <si>
    <t>Carousel Wind Farm LLC</t>
  </si>
  <si>
    <t>RE Astoria</t>
  </si>
  <si>
    <t>RE Astoria 2</t>
  </si>
  <si>
    <t>Adapture CA2, LLC</t>
  </si>
  <si>
    <t>Columbia Solar Energy, LLC</t>
  </si>
  <si>
    <t>Morelos del Sol</t>
  </si>
  <si>
    <t>Hooper Solar</t>
  </si>
  <si>
    <t>SR Jenkins Ft Lupton</t>
  </si>
  <si>
    <t>Little Rock Pham Solar</t>
  </si>
  <si>
    <t>Adera Solar</t>
  </si>
  <si>
    <t>SunE Rochester</t>
  </si>
  <si>
    <t>CA Flats Solar 130, LLC</t>
  </si>
  <si>
    <t>CA Flats Solar 150, LLC</t>
  </si>
  <si>
    <t>Tequesquite Landfill Solar PV Project</t>
  </si>
  <si>
    <t>Frontier Solar LLC</t>
  </si>
  <si>
    <t>Cuyama Solar, LLC</t>
  </si>
  <si>
    <t>Golden Hills Wind</t>
  </si>
  <si>
    <t>Steel Bridge Solar, LLC</t>
  </si>
  <si>
    <t>Lindberg FIeld Solar</t>
  </si>
  <si>
    <t>Avalon Solar II</t>
  </si>
  <si>
    <t>CED Avenal</t>
  </si>
  <si>
    <t>CED Ducor 1</t>
  </si>
  <si>
    <t>CED Ducor 2</t>
  </si>
  <si>
    <t>CED Ducor 3</t>
  </si>
  <si>
    <t>CED Ducor 4</t>
  </si>
  <si>
    <t>Fresno Solar</t>
  </si>
  <si>
    <t>AVS Lancaster 1</t>
  </si>
  <si>
    <t>US-TOPCO (Soccer Center)</t>
  </si>
  <si>
    <t>Kingbird B Solar, LLC</t>
  </si>
  <si>
    <t>Blythe Solar II, LLC</t>
  </si>
  <si>
    <t>Blythe Solar 110, LLC</t>
  </si>
  <si>
    <t>Blythe Solar III, LLC Hybrid</t>
  </si>
  <si>
    <t>Blythe Solar IV, LLC</t>
  </si>
  <si>
    <t>Oregon Convention Center</t>
  </si>
  <si>
    <t>Granby Hydro</t>
  </si>
  <si>
    <t>Lemoore 1</t>
  </si>
  <si>
    <t>Peak View Wind Farm</t>
  </si>
  <si>
    <t>Building F</t>
  </si>
  <si>
    <t>Building G</t>
  </si>
  <si>
    <t>Buidling L</t>
  </si>
  <si>
    <t>Dulles</t>
  </si>
  <si>
    <t>Freeway Springs</t>
  </si>
  <si>
    <t>Solverde 1</t>
  </si>
  <si>
    <t>Antelope DSR 1</t>
  </si>
  <si>
    <t>Antelope DSR 2</t>
  </si>
  <si>
    <t>Whitethorn Solar LLC</t>
  </si>
  <si>
    <t>South Valley Solar Energy Center</t>
  </si>
  <si>
    <t>Santa Fe Solar Energy Center</t>
  </si>
  <si>
    <t>Santolina Solar Energy Center</t>
  </si>
  <si>
    <t>Rio Communities Solar Energy Center</t>
  </si>
  <si>
    <t>Strata Roof 1</t>
  </si>
  <si>
    <t>Rancho Seco Solar, LLC</t>
  </si>
  <si>
    <t>Estrella Mountain PV</t>
  </si>
  <si>
    <t>Genentech-Oceanside Hybrid</t>
  </si>
  <si>
    <t>RE Garland</t>
  </si>
  <si>
    <t>Midway Solar Farm II</t>
  </si>
  <si>
    <t>Algonquin SKIC 10 Solar, LLC</t>
  </si>
  <si>
    <t>Valley View Solar</t>
  </si>
  <si>
    <t>Skylark</t>
  </si>
  <si>
    <t>Weymouth Solar Plant</t>
  </si>
  <si>
    <t>Alta Luna</t>
  </si>
  <si>
    <t>Pioneer Wind Park, LLC</t>
  </si>
  <si>
    <t>Playa Solar 2</t>
  </si>
  <si>
    <t>Westside Solar Power PV1</t>
  </si>
  <si>
    <t>Castor Solar</t>
  </si>
  <si>
    <t>Antelope Big Sky Ranch</t>
  </si>
  <si>
    <t>Summer Solar LLC</t>
  </si>
  <si>
    <t>Central Antelope Dry Ranch B LLC</t>
  </si>
  <si>
    <t>SR Mavericks</t>
  </si>
  <si>
    <t>Red Horse III</t>
  </si>
  <si>
    <t>Montana Solar Facility</t>
  </si>
  <si>
    <t>Holloman Solar Facility</t>
  </si>
  <si>
    <t>San Isabel Solar, LLC</t>
  </si>
  <si>
    <t>Mesquite Solar 3, LLC</t>
  </si>
  <si>
    <t>Portal Ridge Solar B, LLC</t>
  </si>
  <si>
    <t>Portal Ridge Solar C, LLC</t>
  </si>
  <si>
    <t>Midway Solar Farm III</t>
  </si>
  <si>
    <t>Grady Wind Energy Center, LLC</t>
  </si>
  <si>
    <t>Jeffco Community Solar Gardens LLC</t>
  </si>
  <si>
    <t>Willow Spring Solar, LLC</t>
  </si>
  <si>
    <t>Grove Solar Center, LLC</t>
  </si>
  <si>
    <t>Hyline Solar Center, LLC</t>
  </si>
  <si>
    <t>Open Range Solar Center, LLC</t>
  </si>
  <si>
    <t>Railroad Solar Center, LLC</t>
  </si>
  <si>
    <t>Thunderegg Solar Center, LLC</t>
  </si>
  <si>
    <t>Vale Air Solar Center, LLC</t>
  </si>
  <si>
    <t>Midway Solar Farm 1</t>
  </si>
  <si>
    <t>Solar Las Vegas MB 2, LLC</t>
  </si>
  <si>
    <t>Bison Solar LLC</t>
  </si>
  <si>
    <t>Boulder Solar Power, LLC</t>
  </si>
  <si>
    <t>Sulphur Springs</t>
  </si>
  <si>
    <t>RE Garland A</t>
  </si>
  <si>
    <t>RE Barren Ridge 1</t>
  </si>
  <si>
    <t>Munro Valley Solar</t>
  </si>
  <si>
    <t>Bonnybrooke PV</t>
  </si>
  <si>
    <t>Calligan Creek Hydroelectric Project</t>
  </si>
  <si>
    <t>RCWD PV Project</t>
  </si>
  <si>
    <t>CA Dept of Public Health at Richmond</t>
  </si>
  <si>
    <t>Three Peaks Power</t>
  </si>
  <si>
    <t>E&amp;B Resources</t>
  </si>
  <si>
    <t>Pavant Solar II LLC</t>
  </si>
  <si>
    <t>Corcoran</t>
  </si>
  <si>
    <t>Waterman Turnout Hydroelectric</t>
  </si>
  <si>
    <t>Bayshore Solar B, LLC</t>
  </si>
  <si>
    <t>Bayshore Solar C, LLC</t>
  </si>
  <si>
    <t>Bayshore Solar A, LLC</t>
  </si>
  <si>
    <t>Longboat Solar, LLC</t>
  </si>
  <si>
    <t>Greenfield Wind - MT</t>
  </si>
  <si>
    <t>Redwood 4 Solar Farm</t>
  </si>
  <si>
    <t>Springbok 3 Solar Farm Hybrid</t>
  </si>
  <si>
    <t>SR Skylark B</t>
  </si>
  <si>
    <t>Valley Center</t>
  </si>
  <si>
    <t>Clear Spring Ranch PV Project</t>
  </si>
  <si>
    <t>NLP Granger</t>
  </si>
  <si>
    <t>Hancock Creek Hydroelectric Project</t>
  </si>
  <si>
    <t>NorWest Energy 2, LLC</t>
  </si>
  <si>
    <t>Solar Blythe 2</t>
  </si>
  <si>
    <t>White Wing Solar</t>
  </si>
  <si>
    <t>Golden Fields Solar I, LLC</t>
  </si>
  <si>
    <t>Solar Star California, XLI, LLC</t>
  </si>
  <si>
    <t>Voyager Wind I</t>
  </si>
  <si>
    <t>Jacobson 5 MW Solar</t>
  </si>
  <si>
    <t>BC Solar</t>
  </si>
  <si>
    <t>Rush Creek Wind</t>
  </si>
  <si>
    <t>San Joaquin Solar</t>
  </si>
  <si>
    <t>Amphitheater High School Solar</t>
  </si>
  <si>
    <t>Canyon Del Oro High School Solar</t>
  </si>
  <si>
    <t>Weld 1 Community Solar Array</t>
  </si>
  <si>
    <t>Logan 1 Community Solar Array</t>
  </si>
  <si>
    <t>Conejos 1 Community Solar Array</t>
  </si>
  <si>
    <t>Arapahoe 3 Community Solar Array</t>
  </si>
  <si>
    <t>Xcel Adams 2 Community Solar Array</t>
  </si>
  <si>
    <t>Xcel Adams 1 Community Solar Array</t>
  </si>
  <si>
    <t>SEPV Imperial Dixieland West</t>
  </si>
  <si>
    <t>SEPV Imperial Dixieland East</t>
  </si>
  <si>
    <t>Victory Solar LLC</t>
  </si>
  <si>
    <t>American Kings Solar, LLC</t>
  </si>
  <si>
    <t>PVN Milliken, LLC</t>
  </si>
  <si>
    <t>SunAnza</t>
  </si>
  <si>
    <t>CEC Solar #1117, LLC</t>
  </si>
  <si>
    <t>Cloverdale Solar Center</t>
  </si>
  <si>
    <t>Weber State University - Davis Campus PV</t>
  </si>
  <si>
    <t>Intel - Ocotillo Campus Solar</t>
  </si>
  <si>
    <t>Valley Sanitary District WTP Solar</t>
  </si>
  <si>
    <t>Colgreen North Shore Solar Farm</t>
  </si>
  <si>
    <t>US GSA - Sacramento</t>
  </si>
  <si>
    <t>Dept of General Services -FTB</t>
  </si>
  <si>
    <t>Timothy Lake Powerhouse</t>
  </si>
  <si>
    <t>Solar Star California, XLIV, LLC</t>
  </si>
  <si>
    <t>Boulder Solar II, LLC</t>
  </si>
  <si>
    <t>Pavant Solar III</t>
  </si>
  <si>
    <t>Westmont 300B</t>
  </si>
  <si>
    <t>Jacumba Solar Farm</t>
  </si>
  <si>
    <t>Owens Valley Solar Project 11</t>
  </si>
  <si>
    <t>Whitney Point Solar</t>
  </si>
  <si>
    <t>OSLH, LLC</t>
  </si>
  <si>
    <t>CSUF State College</t>
  </si>
  <si>
    <t>CSUF Nutwood Solar</t>
  </si>
  <si>
    <t>NextEra Westside PV</t>
  </si>
  <si>
    <t>Lindberg Field Solar 2</t>
  </si>
  <si>
    <t>Ramona Solar Energy</t>
  </si>
  <si>
    <t>Iron Horse Battery Storage Hybrid</t>
  </si>
  <si>
    <t>SCDA Solar 1</t>
  </si>
  <si>
    <t>Marin Clean Energy Solar One</t>
  </si>
  <si>
    <t>Twin Buttes II Wind</t>
  </si>
  <si>
    <t>Solar Star Oregon II</t>
  </si>
  <si>
    <t>Foundation CDCR LAC</t>
  </si>
  <si>
    <t>Foundation Scheid Vineyards</t>
  </si>
  <si>
    <t>Battle Mountain Solar Project</t>
  </si>
  <si>
    <t>Pima Community College - East Campus</t>
  </si>
  <si>
    <t>Manteca Land PV</t>
  </si>
  <si>
    <t>Delano Land 1</t>
  </si>
  <si>
    <t>Bakersfield PV 1</t>
  </si>
  <si>
    <t>Bakersfield Industrial PV 1</t>
  </si>
  <si>
    <t>Quichapa 1</t>
  </si>
  <si>
    <t>Quichapa 2</t>
  </si>
  <si>
    <t>Quichapa 3</t>
  </si>
  <si>
    <t>Intel Folsom Phase 3</t>
  </si>
  <si>
    <t>Big Timber Wind Farm</t>
  </si>
  <si>
    <t>Columbus Solar Project</t>
  </si>
  <si>
    <t>Eland Solar &amp; Storage Center, Phase 1 Hy</t>
  </si>
  <si>
    <t>Shavano Falls Hydro</t>
  </si>
  <si>
    <t>Shavano Falls Hydro Drop 4</t>
  </si>
  <si>
    <t>Drop 5 (CO)</t>
  </si>
  <si>
    <t>IKEA Las Vegas 462</t>
  </si>
  <si>
    <t>T0588 Phoenix - AZ</t>
  </si>
  <si>
    <t>OR Solar 2, LLC</t>
  </si>
  <si>
    <t>OR Solar 3, LLC</t>
  </si>
  <si>
    <t>Mount Signal Solar Farm V</t>
  </si>
  <si>
    <t>Sacramento Regional County Sanitation PV</t>
  </si>
  <si>
    <t>Green Beanworks C PV</t>
  </si>
  <si>
    <t>Green Beanworks D PV</t>
  </si>
  <si>
    <t>Head of U Canal Hydro Project</t>
  </si>
  <si>
    <t>Golden Hills North Wind Energy Center</t>
  </si>
  <si>
    <t>Westmont 300A</t>
  </si>
  <si>
    <t>USPS PV</t>
  </si>
  <si>
    <t>Antelope Expansion 2</t>
  </si>
  <si>
    <t>Antelope DSR 3</t>
  </si>
  <si>
    <t>Kayenta Solar Project</t>
  </si>
  <si>
    <t>Gray Hawk Solar</t>
  </si>
  <si>
    <t>Bear Creek Solar Center</t>
  </si>
  <si>
    <t>River Bend Solar, LLC (MT)</t>
  </si>
  <si>
    <t>South Mills Solar, LLC</t>
  </si>
  <si>
    <t>Green Meadow Solar, LLC</t>
  </si>
  <si>
    <t>SR Kersey</t>
  </si>
  <si>
    <t>Port of LA Solar FiT Project</t>
  </si>
  <si>
    <t>Great Divide Solar, LLC</t>
  </si>
  <si>
    <t>Black Eagle Solar, LLC</t>
  </si>
  <si>
    <t>Magpie Solar, LLC</t>
  </si>
  <si>
    <t>Mill Creek Solar (OR)</t>
  </si>
  <si>
    <t>Green Beanworks B PV</t>
  </si>
  <si>
    <t>Westmont 400A</t>
  </si>
  <si>
    <t>Westmont 400B</t>
  </si>
  <si>
    <t>Mount Signal Solar Farm II</t>
  </si>
  <si>
    <t>Sweetwater Solar</t>
  </si>
  <si>
    <t>Amazon - Patterson PV</t>
  </si>
  <si>
    <t>Valencia 1 Solar CA</t>
  </si>
  <si>
    <t>One Ten Partners PV</t>
  </si>
  <si>
    <t>Merced 1 PV</t>
  </si>
  <si>
    <t>Madera 1 PV</t>
  </si>
  <si>
    <t>OR Solar 5, LLC</t>
  </si>
  <si>
    <t>OR Solar 8, LLC</t>
  </si>
  <si>
    <t>Coyote Ridge Community Solar</t>
  </si>
  <si>
    <t>OR Solar 6, LLC</t>
  </si>
  <si>
    <t>Panasonic Carport Solar Hybrid</t>
  </si>
  <si>
    <t>Foundation California Training Facility</t>
  </si>
  <si>
    <t>Foundation Mann Packing</t>
  </si>
  <si>
    <t>Foundation SaIinas Valley State Prison</t>
  </si>
  <si>
    <t>Gaskell West 1 Solar Facility</t>
  </si>
  <si>
    <t>RE Gaskell West 2 LLC</t>
  </si>
  <si>
    <t>RE Gaskell West 3 LLC</t>
  </si>
  <si>
    <t>RE Gaskell West 4 LLC</t>
  </si>
  <si>
    <t>RE Gaskell West 5 LLC</t>
  </si>
  <si>
    <t>SR Platte Solar Farm</t>
  </si>
  <si>
    <t>Vandenberg Solar Project</t>
  </si>
  <si>
    <t>San Luis Solar Garden</t>
  </si>
  <si>
    <t>Adams Solar Center</t>
  </si>
  <si>
    <t>Elbe Solar Center</t>
  </si>
  <si>
    <t>Klamath Falls Solar 2 CSG</t>
  </si>
  <si>
    <t>Facebook 1 Solar Energy Center</t>
  </si>
  <si>
    <t>Facebook 2 Solar Energy Center</t>
  </si>
  <si>
    <t>Facebook 3 Solar Energy Center</t>
  </si>
  <si>
    <t>Woodline Solar</t>
  </si>
  <si>
    <t>Eagle Point Solar</t>
  </si>
  <si>
    <t>Tumbleweed Solar, LLC</t>
  </si>
  <si>
    <t>Voyager Wind III</t>
  </si>
  <si>
    <t>Voyager Wind IV</t>
  </si>
  <si>
    <t>Westmont 301</t>
  </si>
  <si>
    <t>Westmont 401</t>
  </si>
  <si>
    <t>San Luis Valley Solar Array</t>
  </si>
  <si>
    <t>Vilas Solar Array</t>
  </si>
  <si>
    <t>Stenner Creek Solar</t>
  </si>
  <si>
    <t>Techren Solar I LLC</t>
  </si>
  <si>
    <t>CDCR (CA) - Solano State Prison</t>
  </si>
  <si>
    <t>CDCR (CA) - Corcoran State Prison</t>
  </si>
  <si>
    <t>CDCR (CA) - Wasco State Prison</t>
  </si>
  <si>
    <t>Kilroy Solar</t>
  </si>
  <si>
    <t>Chiloquin Solar, LLC</t>
  </si>
  <si>
    <t>Carrizozo Solar</t>
  </si>
  <si>
    <t>Pinal Central Energy Center Hybrid</t>
  </si>
  <si>
    <t>USG 1</t>
  </si>
  <si>
    <t>USG 2</t>
  </si>
  <si>
    <t>North Gooding Main Hydro</t>
  </si>
  <si>
    <t>IVC Solar</t>
  </si>
  <si>
    <t>Folsom SP and CSP Sacramento</t>
  </si>
  <si>
    <t>Wistaria Ranch Solar</t>
  </si>
  <si>
    <t>Quincy II Solar Garden</t>
  </si>
  <si>
    <t>Imboden Solar Garden</t>
  </si>
  <si>
    <t>Stage Gulch Solar</t>
  </si>
  <si>
    <t>Lavio Solar</t>
  </si>
  <si>
    <t>Stillwater Solar PV II</t>
  </si>
  <si>
    <t>Titan Solar</t>
  </si>
  <si>
    <t>RPUWD Scheuer Well Solar Project</t>
  </si>
  <si>
    <t>Dignity - Siena Campus</t>
  </si>
  <si>
    <t>Dayton Cutoff Solar</t>
  </si>
  <si>
    <t>Valley Creek Solar</t>
  </si>
  <si>
    <t>Silverton Solar</t>
  </si>
  <si>
    <t>Sheep Solar</t>
  </si>
  <si>
    <t>Colton Solar</t>
  </si>
  <si>
    <t>Interstate Solar</t>
  </si>
  <si>
    <t>Soboba Community Solar Project</t>
  </si>
  <si>
    <t>Grand Ronde Solar</t>
  </si>
  <si>
    <t>SeaWorld Aquatica</t>
  </si>
  <si>
    <t>Brush Solar Center</t>
  </si>
  <si>
    <t>Eagle Shadow Mountain Solar Farm</t>
  </si>
  <si>
    <t>Jordanelle Dam Hydroelectric Project</t>
  </si>
  <si>
    <t>Baker City Solar</t>
  </si>
  <si>
    <t>Morgan Solar Center</t>
  </si>
  <si>
    <t>Vale Solar Center</t>
  </si>
  <si>
    <t>Stillwater Wind, LLC</t>
  </si>
  <si>
    <t>Ontario Solar Center</t>
  </si>
  <si>
    <t>Dignity - San Martin</t>
  </si>
  <si>
    <t>Bar D</t>
  </si>
  <si>
    <t>National Raisin</t>
  </si>
  <si>
    <t>Casa Mesa Wind Energy Center Hybrid</t>
  </si>
  <si>
    <t>Techren Solar II LLC</t>
  </si>
  <si>
    <t>Techren Solar III LLC</t>
  </si>
  <si>
    <t>Techren Solar IV LLC</t>
  </si>
  <si>
    <t>Adams Nielson Solar</t>
  </si>
  <si>
    <t>Pacific Ethanol Madera Solar Array</t>
  </si>
  <si>
    <t>Pioneer Solar (CO), LLC</t>
  </si>
  <si>
    <t>UC Merced Solar Hybrid</t>
  </si>
  <si>
    <t>San Pablo Raceway</t>
  </si>
  <si>
    <t>UC Riverside Lots 30 &amp; 32</t>
  </si>
  <si>
    <t>Stanford Campus Solar</t>
  </si>
  <si>
    <t>CSU Long Beach Lots 7 &amp; 14</t>
  </si>
  <si>
    <t>Santa Rosa Junior College Petaluma Solar</t>
  </si>
  <si>
    <t>Citizens Imperial Solar</t>
  </si>
  <si>
    <t>Urtica Solar Project</t>
  </si>
  <si>
    <t>Penstemon Solar Project</t>
  </si>
  <si>
    <t>Camas Solar Project</t>
  </si>
  <si>
    <t>Pima Community College</t>
  </si>
  <si>
    <t>Blue Shld Of Cal- El Dorado Hlls Mtr B</t>
  </si>
  <si>
    <t>Strauss Wind Farm</t>
  </si>
  <si>
    <t>Roseville Solar</t>
  </si>
  <si>
    <t>Syncarpha Eagle Nest</t>
  </si>
  <si>
    <t>Chaffey College Rancho Cucamonga Campus</t>
  </si>
  <si>
    <t>Clif Bar Bakery of Twin Falls</t>
  </si>
  <si>
    <t>Boring Solar LLC</t>
  </si>
  <si>
    <t>Ballston Solar LLC</t>
  </si>
  <si>
    <t>Labish Solar LLC</t>
  </si>
  <si>
    <t>Desert Harvest, LLC</t>
  </si>
  <si>
    <t>Maverick Solar, LLC</t>
  </si>
  <si>
    <t>CNMEC Solar Energy Center</t>
  </si>
  <si>
    <t>Oak Leaf Solar XXVII LLC</t>
  </si>
  <si>
    <t>Oak Leaf Solar XXX LLC (CSG)</t>
  </si>
  <si>
    <t>NorWest Energy 9 LLC</t>
  </si>
  <si>
    <t>County of San Diego SBRC</t>
  </si>
  <si>
    <t>Oak Leaf Solar XXI (CSG)</t>
  </si>
  <si>
    <t>Oak Leaf Solar XXXI LLC (CSG)</t>
  </si>
  <si>
    <t>Oak Leaf Solar XXV LLC (CSG)</t>
  </si>
  <si>
    <t>Target Woodland Solar Project</t>
  </si>
  <si>
    <t>Arrow Canyon Solar Hybrid</t>
  </si>
  <si>
    <t>Oak Leaf Solar XXXII (CSG)</t>
  </si>
  <si>
    <t>Oak Leaf Solar XXII LLC (CSG)</t>
  </si>
  <si>
    <t>Oak Leaf Solar XXIV LLC (CSG)</t>
  </si>
  <si>
    <t>Oak Leaf Solar XXVI LLC</t>
  </si>
  <si>
    <t>Oak Leaf Solar XXVIII LLC (CSG)</t>
  </si>
  <si>
    <t>Oak Leaf Solar XXIII LLC (CSG)</t>
  </si>
  <si>
    <t>Trout Creek Solar</t>
  </si>
  <si>
    <t>NorWest Energy 4, LLC</t>
  </si>
  <si>
    <t>Bly Solar Center</t>
  </si>
  <si>
    <t>Liberty HS Solar Project</t>
  </si>
  <si>
    <t>Frontier HS Solar Project</t>
  </si>
  <si>
    <t>Xebec 1</t>
  </si>
  <si>
    <t>Francisco St. Solar</t>
  </si>
  <si>
    <t>Valentine Solar, LLC</t>
  </si>
  <si>
    <t>Antelope Expansion 1B</t>
  </si>
  <si>
    <t>Grazing Yak Solar</t>
  </si>
  <si>
    <t>CFW Solar X LLC - Vaughn</t>
  </si>
  <si>
    <t>Spanish Peaks Solar</t>
  </si>
  <si>
    <t>Sage Solar I-III</t>
  </si>
  <si>
    <t>City of Gallup Solar</t>
  </si>
  <si>
    <t>Techren Solar V</t>
  </si>
  <si>
    <t>Busch Ranch II Wind Farm</t>
  </si>
  <si>
    <t>Little Bear 3</t>
  </si>
  <si>
    <t>Little Bear 4</t>
  </si>
  <si>
    <t>Little Bear 5</t>
  </si>
  <si>
    <t>Vista Solar Energy Center</t>
  </si>
  <si>
    <t>Cove Mountain Solar</t>
  </si>
  <si>
    <t>Cove Mountain Solar 2</t>
  </si>
  <si>
    <t>Crossing Trails Wind Power Project LLC.</t>
  </si>
  <si>
    <t>TB Flats</t>
  </si>
  <si>
    <t>Renew Solar ABC Sacramento LLC</t>
  </si>
  <si>
    <t>Almond</t>
  </si>
  <si>
    <t>Aquamarine</t>
  </si>
  <si>
    <t>Airport Solar</t>
  </si>
  <si>
    <t>Ekola Flats</t>
  </si>
  <si>
    <t>Rio De Oro Solar Energy Center</t>
  </si>
  <si>
    <t>PFMG Solar Grossmont Helix LLC</t>
  </si>
  <si>
    <t>AZ State University - Tempe Campus Solar</t>
  </si>
  <si>
    <t>SFDK Solar</t>
  </si>
  <si>
    <t>Foundation Dole Fresh Vegetables</t>
  </si>
  <si>
    <t>HL Solar</t>
  </si>
  <si>
    <t>Gilcrest Solar</t>
  </si>
  <si>
    <t>Quincy Solar (CO)</t>
  </si>
  <si>
    <t>Sigurd Solar LLC</t>
  </si>
  <si>
    <t>Lafayette Horizon Solar CSG LLC</t>
  </si>
  <si>
    <t>Antelope Expansion 3A</t>
  </si>
  <si>
    <t>Antelope Expansion 3B</t>
  </si>
  <si>
    <t>American Canyon Solar</t>
  </si>
  <si>
    <t>Malech Solar Farm</t>
  </si>
  <si>
    <t>Hellyer Solar Farm</t>
  </si>
  <si>
    <t>Guadalupe Solar Farm</t>
  </si>
  <si>
    <t>Mesa CSG 2 Massicotte</t>
  </si>
  <si>
    <t>Mesa CSG 1 Murdock</t>
  </si>
  <si>
    <t>Solar Star Palo Alto I, LLC</t>
  </si>
  <si>
    <t>Wheatridge Hybrid</t>
  </si>
  <si>
    <t>RC Energy AA LLC Solar Facility</t>
  </si>
  <si>
    <t>Bloomington Solar I</t>
  </si>
  <si>
    <t>Shelter Creek Condominiums Solar</t>
  </si>
  <si>
    <t>Milford Solar 1</t>
  </si>
  <si>
    <t>Mountain Breeze Wind, LLC</t>
  </si>
  <si>
    <t>Amazon Denver DEN3</t>
  </si>
  <si>
    <t>East Line Solar</t>
  </si>
  <si>
    <t>Windsor Floating Solar</t>
  </si>
  <si>
    <t>Orchard Windfarm 1, LLC</t>
  </si>
  <si>
    <t>South Peak Wind</t>
  </si>
  <si>
    <t>Cheyenne Ridge Wind Farm</t>
  </si>
  <si>
    <t>Grossmont HS Solar Project</t>
  </si>
  <si>
    <t>Wildflower Solar 1</t>
  </si>
  <si>
    <t>Bluewater CDEC 1</t>
  </si>
  <si>
    <t>Grants CDEC 2</t>
  </si>
  <si>
    <t>SCCCD - Clovis Community College</t>
  </si>
  <si>
    <t>Prineville Solar Energy LLC</t>
  </si>
  <si>
    <t>Millican Solar Energy LLC</t>
  </si>
  <si>
    <t>CalCity Solar 1</t>
  </si>
  <si>
    <t>Clover Creek Solar Community Solar</t>
  </si>
  <si>
    <t>SCCCD - Fresno Community College</t>
  </si>
  <si>
    <t>Reedley Community College Solar</t>
  </si>
  <si>
    <t>Eagle Creek</t>
  </si>
  <si>
    <t>San Miguel I Solar Energy Center</t>
  </si>
  <si>
    <t>San Miguel II Solar Energy Center</t>
  </si>
  <si>
    <t>Syncarpha Taos</t>
  </si>
  <si>
    <t>Syncarpha El Rito</t>
  </si>
  <si>
    <t>Syncarpha Questa</t>
  </si>
  <si>
    <t>Drew Solar LLC</t>
  </si>
  <si>
    <t>Roundhouse Wind Energy Project</t>
  </si>
  <si>
    <t>Tom Sifers Solar</t>
  </si>
  <si>
    <t>Whiskey Hill Solar</t>
  </si>
  <si>
    <t>Rio Rancho Solar Energy Center</t>
  </si>
  <si>
    <t>Bio-Rad</t>
  </si>
  <si>
    <t>CID Solar (CA)</t>
  </si>
  <si>
    <t>Rafael Solar</t>
  </si>
  <si>
    <t>Case Creek Solar</t>
  </si>
  <si>
    <t>Kale Patch Solar</t>
  </si>
  <si>
    <t>O'Neill Creek Solar</t>
  </si>
  <si>
    <t>Mtn. Solar 1</t>
  </si>
  <si>
    <t>Mtn. Solar 2</t>
  </si>
  <si>
    <t>CO LI CSG 1 - Kamerra</t>
  </si>
  <si>
    <t>Athos Solar Project</t>
  </si>
  <si>
    <t>Garrett Solar</t>
  </si>
  <si>
    <t>Alticor Inc - Solar Project</t>
  </si>
  <si>
    <t>Duus Solar, LLC</t>
  </si>
  <si>
    <t>Firwood Solar, LLC</t>
  </si>
  <si>
    <t>Starvation</t>
  </si>
  <si>
    <t>OE_AZ1</t>
  </si>
  <si>
    <t>Gemini Solar Hybrid</t>
  </si>
  <si>
    <t>Medline Ind. Phase 2 Tracy</t>
  </si>
  <si>
    <t>Niagara Bottling Stockton</t>
  </si>
  <si>
    <t>Mtn. Solar 3 CSG</t>
  </si>
  <si>
    <t>SCV Water - Gladbach Water Treatment Plant Phases I and II</t>
  </si>
  <si>
    <t>Rancho Seco Solar II, LLC</t>
  </si>
  <si>
    <t>City of Rio Rancho WWTP</t>
  </si>
  <si>
    <t>IOS II-LAX9</t>
  </si>
  <si>
    <t>Sierra Pacific Industries (2042-RD)</t>
  </si>
  <si>
    <t>DGS Wasco State Prison</t>
  </si>
  <si>
    <t>DGS Central California Womens Facility</t>
  </si>
  <si>
    <t>Fresno Bullard High School Hybrid</t>
  </si>
  <si>
    <t>Fresno Hoover High School Hybrid</t>
  </si>
  <si>
    <t>Fresno Sunnyside High School Hybrid</t>
  </si>
  <si>
    <t>Corriedale Wind Energy</t>
  </si>
  <si>
    <t>Sun Streams 2</t>
  </si>
  <si>
    <t>Tickle Creek Solar</t>
  </si>
  <si>
    <t>Thomas Creek Solar</t>
  </si>
  <si>
    <t>RE-VFO LLC</t>
  </si>
  <si>
    <t>St Louis Solar</t>
  </si>
  <si>
    <t>Pika Solar</t>
  </si>
  <si>
    <t>Brush Creek Solar</t>
  </si>
  <si>
    <t>Minke Solar</t>
  </si>
  <si>
    <t>Drift Creek Solar</t>
  </si>
  <si>
    <t>Bighorn Solar</t>
  </si>
  <si>
    <t>Saint Solar</t>
  </si>
  <si>
    <t>Alcalde Solar Array</t>
  </si>
  <si>
    <t>Point Wind</t>
  </si>
  <si>
    <t>D'Arrigo Brothers - Phase 4</t>
  </si>
  <si>
    <t>Wister Solar</t>
  </si>
  <si>
    <t>PSREC/SIAD Solar</t>
  </si>
  <si>
    <t>Oso Grande Wind Farm</t>
  </si>
  <si>
    <t>Copper Mountain Solar 5, LLC</t>
  </si>
  <si>
    <t>Lund Hill Solar</t>
  </si>
  <si>
    <t>Walnut Unified School District Walnut HS</t>
  </si>
  <si>
    <t>Moonlight Packing - Phase 2</t>
  </si>
  <si>
    <t>California City</t>
  </si>
  <si>
    <t>Lafayette 2 - Internal Services Dept</t>
  </si>
  <si>
    <t>Pima Community College NW</t>
  </si>
  <si>
    <t>Amazon DEN2 Solar Project</t>
  </si>
  <si>
    <t>Chevron - Lost Hills Hybrid</t>
  </si>
  <si>
    <t>Mohave Electric Cooperative at Joy Lane</t>
  </si>
  <si>
    <t>Britton Solar Energy Center</t>
  </si>
  <si>
    <t>SR Kersey II</t>
  </si>
  <si>
    <t>SR Skylark C</t>
  </si>
  <si>
    <t>Lafayette 2 - MLK Jr. Hospital (MLK)</t>
  </si>
  <si>
    <t>Fort Rock I</t>
  </si>
  <si>
    <t>Dunn Road Solar</t>
  </si>
  <si>
    <t>North Kern State Prison Phase II</t>
  </si>
  <si>
    <t>Mt Hope Solar</t>
  </si>
  <si>
    <t>Williams Acres Solar</t>
  </si>
  <si>
    <t>River Valley Solar</t>
  </si>
  <si>
    <t>Oak Leaf Solar XXXIII LLC (Lantz)</t>
  </si>
  <si>
    <t>Butler Solar, LLC</t>
  </si>
  <si>
    <t>Golden Hill Wind</t>
  </si>
  <si>
    <t>Rawhide Prairie Solar Hybrid</t>
  </si>
  <si>
    <t>Slate Hybrid</t>
  </si>
  <si>
    <t>Taos Mesa Energy Facility Hybrid</t>
  </si>
  <si>
    <t>Neptune Energy Center Hybrid</t>
  </si>
  <si>
    <t>Platteville Solar CSG, LLC</t>
  </si>
  <si>
    <t>Kroger La Habra</t>
  </si>
  <si>
    <t>Soscol Ferry Solar</t>
  </si>
  <si>
    <t>Silveira Ranch Road Solar</t>
  </si>
  <si>
    <t>Bighorn Solar 1</t>
  </si>
  <si>
    <t>Thunder Wolf Energy Center Hybrid</t>
  </si>
  <si>
    <t>Suntex Solar, LLC</t>
  </si>
  <si>
    <t>Rock Garden Solar, LLC</t>
  </si>
  <si>
    <t>Alkali Solar, LLC</t>
  </si>
  <si>
    <t>West Hines Solar I, LLC</t>
  </si>
  <si>
    <t>Bronco Plains Wind, LLC</t>
  </si>
  <si>
    <t>Solar Blue</t>
  </si>
  <si>
    <t>Chestnut</t>
  </si>
  <si>
    <t>Golden Field Solar III, LLC</t>
  </si>
  <si>
    <t>Encino Solar Energy Center</t>
  </si>
  <si>
    <t>IBM Solar</t>
  </si>
  <si>
    <t>Camp San Luis Obispo</t>
  </si>
  <si>
    <t>Kern Valley SP</t>
  </si>
  <si>
    <t>Turquoise Nevada, LLC</t>
  </si>
  <si>
    <t>SulusSolar17</t>
  </si>
  <si>
    <t>Dodge Flat</t>
  </si>
  <si>
    <t>Cedar Springs I</t>
  </si>
  <si>
    <t>Cedar Springs II</t>
  </si>
  <si>
    <t>Cedar Springs III</t>
  </si>
  <si>
    <t>Riley</t>
  </si>
  <si>
    <t>Fort Rock IV</t>
  </si>
  <si>
    <t>Vacaville Hospital</t>
  </si>
  <si>
    <t>Titan Solar 1 (CA)</t>
  </si>
  <si>
    <t>Dry Lake Solar Energy Center</t>
  </si>
  <si>
    <t>Central 40</t>
  </si>
  <si>
    <t>Oasis Alta</t>
  </si>
  <si>
    <t>DGS Valley State Prison</t>
  </si>
  <si>
    <t>Palmer Creek Solar, LLC</t>
  </si>
  <si>
    <t>Day Hill Solar, LLC</t>
  </si>
  <si>
    <t>SSD Marion 3, LLC</t>
  </si>
  <si>
    <t>SSD Marion 5, LLC</t>
  </si>
  <si>
    <t>SSD Marion 6, LLC</t>
  </si>
  <si>
    <t>SSD Clackamas 1, LLC</t>
  </si>
  <si>
    <t>SSD Clackamas 4, LLC</t>
  </si>
  <si>
    <t>SSD Clackamas 7, LLC</t>
  </si>
  <si>
    <t>SSD Marion 1, LLC</t>
  </si>
  <si>
    <t>SulusSolar35</t>
  </si>
  <si>
    <t>Rocket Solar, LLC</t>
  </si>
  <si>
    <t>Horseshoe Solar, LLC</t>
  </si>
  <si>
    <t>FTF-PackingShed</t>
  </si>
  <si>
    <t>Firebaugh-CCS-PV-1</t>
  </si>
  <si>
    <t>SulusSolar33</t>
  </si>
  <si>
    <t>SulusSolar28</t>
  </si>
  <si>
    <t>MilfordSolar OR</t>
  </si>
  <si>
    <t>BristolSolar</t>
  </si>
  <si>
    <t>Alden Solar CSG LLC</t>
  </si>
  <si>
    <t>SulusSolar22</t>
  </si>
  <si>
    <t>Monte Vista Solar 2 CSG, LLC</t>
  </si>
  <si>
    <t>San Diego - EMDF at San Diego</t>
  </si>
  <si>
    <t>Fremont CO 1, LLC</t>
  </si>
  <si>
    <t>MTSUN</t>
  </si>
  <si>
    <t>GreenparkSolar</t>
  </si>
  <si>
    <t>SulusSolar25</t>
  </si>
  <si>
    <t>SulusSolar29</t>
  </si>
  <si>
    <t>San Diego - NCRC at Vista</t>
  </si>
  <si>
    <t>Orchard Windfarm 2, LLC</t>
  </si>
  <si>
    <t>Orchard Windfarm 3, LLC</t>
  </si>
  <si>
    <t>Orchard Windfarm 4, LLC</t>
  </si>
  <si>
    <t>Wonderful Orchards - New Columbia</t>
  </si>
  <si>
    <t>Wheatridge 1</t>
  </si>
  <si>
    <t>Route 66 Energy Center, LLC</t>
  </si>
  <si>
    <t>Tesla Reno GigaFactory</t>
  </si>
  <si>
    <t>Desert Harvest II LLC</t>
  </si>
  <si>
    <t>Maverick Solar 4, LLC</t>
  </si>
  <si>
    <t>Maverick Solar 6, LLC</t>
  </si>
  <si>
    <t>Maverick Solar 7, LLC</t>
  </si>
  <si>
    <t>Fish Springs</t>
  </si>
  <si>
    <t>SR Rattlesnake</t>
  </si>
  <si>
    <t>Graphite Solar I</t>
  </si>
  <si>
    <t>Apex Solar</t>
  </si>
  <si>
    <t>Fifth Standard Solar PV, LLC (Hybrid)</t>
  </si>
  <si>
    <t>Horn Rapids Solar, Storage and Training</t>
  </si>
  <si>
    <t>Jack's Solar Garden</t>
  </si>
  <si>
    <t>Wonderful Orchards - Westside</t>
  </si>
  <si>
    <t>Wonderful Orchards - Belridge</t>
  </si>
  <si>
    <t>Las Virgenes</t>
  </si>
  <si>
    <t>Rock Creek 2 CSG</t>
  </si>
  <si>
    <t>Alamosa Solar South CSG</t>
  </si>
  <si>
    <t>Valencia 2</t>
  </si>
  <si>
    <t>ESCA-LL-COLTON, LLC</t>
  </si>
  <si>
    <t>SE Athos II, LLC</t>
  </si>
  <si>
    <t>Dissigno Healdsburg FPV, LLC</t>
  </si>
  <si>
    <t>Coachella Hills Wind</t>
  </si>
  <si>
    <t>Summit Winds</t>
  </si>
  <si>
    <t>Mtn Solar 6 LLC (CSG)</t>
  </si>
  <si>
    <t>NSE Camber Solar PS11 LLC (CSG)</t>
  </si>
  <si>
    <t>NSE Camber BH CSG 2, LLC</t>
  </si>
  <si>
    <t>NSE Camber Solar PS13 LLC (CSG)</t>
  </si>
  <si>
    <t>NSE Camber Solar PS6 LLC CSG</t>
  </si>
  <si>
    <t>NSE Camber Solar PS5 LLC (CSG)</t>
  </si>
  <si>
    <t>Pivot Solar 12 LLC(CSG)</t>
  </si>
  <si>
    <t>Tranquillity ID</t>
  </si>
  <si>
    <t>Amazon TUS2</t>
  </si>
  <si>
    <t>Gilcrest V CSG</t>
  </si>
  <si>
    <t>TruStile Doors - Denver</t>
  </si>
  <si>
    <t>Firestone Walker Brewery - Phase 1</t>
  </si>
  <si>
    <t>EMWD - Perris Valley RWRF</t>
  </si>
  <si>
    <t>EMWD - San Jacinto RWRF NEM</t>
  </si>
  <si>
    <t>EMWD - Sun City RWRF</t>
  </si>
  <si>
    <t>EMWD - San Jacinto RES BCT</t>
  </si>
  <si>
    <t>CSU San Jose State University</t>
  </si>
  <si>
    <t>El Dorado County</t>
  </si>
  <si>
    <t>California State Univ at Channel Islands</t>
  </si>
  <si>
    <t>Mesa Carport PV</t>
  </si>
  <si>
    <t>EMWD - Moreno Valley RWRF</t>
  </si>
  <si>
    <t>Big Bear</t>
  </si>
  <si>
    <t>Wilmot Energy Center LLC</t>
  </si>
  <si>
    <t>Copperton Solar Plant No. 1</t>
  </si>
  <si>
    <t>Amazon - Stockton - Roof (SCK1) - (CA)</t>
  </si>
  <si>
    <t>Vallecitos Water District</t>
  </si>
  <si>
    <t>Valencia 3</t>
  </si>
  <si>
    <t>Arlington Microgrid</t>
  </si>
  <si>
    <t>Byron Highway Solar</t>
  </si>
  <si>
    <t>Arlington Energy Center II</t>
  </si>
  <si>
    <t>Resurgence Solar</t>
  </si>
  <si>
    <t>Department of Justice</t>
  </si>
  <si>
    <t>CA Institute for Women</t>
  </si>
  <si>
    <t>Centinela State Prison</t>
  </si>
  <si>
    <t>Calipatria State Prison</t>
  </si>
  <si>
    <t>Atascadero State Hospital</t>
  </si>
  <si>
    <t>SoCore Clovis 1</t>
  </si>
  <si>
    <t>Arlington Energy Center III</t>
  </si>
  <si>
    <t>Central Line Solar, LLC</t>
  </si>
  <si>
    <t>Broadway 2 - UC Riverside</t>
  </si>
  <si>
    <t>Broadway 2 - Tucson Phase II</t>
  </si>
  <si>
    <t>Prologis L.P</t>
  </si>
  <si>
    <t>County of San Diego COC Hybrid</t>
  </si>
  <si>
    <t>MC6 Hydro Facility</t>
  </si>
  <si>
    <t>SEPV Sierra</t>
  </si>
  <si>
    <t>Hudson - High Desert Hybrid</t>
  </si>
  <si>
    <t>Rabbitbrush Solar, LLC</t>
  </si>
  <si>
    <t>Borderlands Wind, LLC</t>
  </si>
  <si>
    <t>Pivot Solar 4 LLC (CSG)</t>
  </si>
  <si>
    <t>Pivot Solar 1 LLC (CSG)</t>
  </si>
  <si>
    <t>Pivot Solar 14 LLC (CSG)</t>
  </si>
  <si>
    <t>Pivot Solar 2 LLC (CSG)</t>
  </si>
  <si>
    <t>Pivot Solar 15 LLC (CSG)</t>
  </si>
  <si>
    <t>Pivot Solar 7 LLC (CSG)</t>
  </si>
  <si>
    <t>Pivot Solar 3 LLC (CSG)</t>
  </si>
  <si>
    <t>Pivot Solar 8 LLC (CSG)</t>
  </si>
  <si>
    <t>Lake Herman</t>
  </si>
  <si>
    <t>Van der Hoek Solar Array/ Dairy</t>
  </si>
  <si>
    <t>Dos Palos</t>
  </si>
  <si>
    <t>Angel Fire Energy Facility</t>
  </si>
  <si>
    <t>El Dorado Solar, LLC</t>
  </si>
  <si>
    <t>Elektron Solar, LLC</t>
  </si>
  <si>
    <t>Castle Solar, LLC</t>
  </si>
  <si>
    <t>Amazon PSP1</t>
  </si>
  <si>
    <t>Redwood Coast Airport Microgrid</t>
  </si>
  <si>
    <t>Santa Rosa Solar</t>
  </si>
  <si>
    <t>Brightwood Solar, LLC</t>
  </si>
  <si>
    <t>Oak Leaf Solar XVIII LLC</t>
  </si>
  <si>
    <t>Catalina Express</t>
  </si>
  <si>
    <t>Marina South</t>
  </si>
  <si>
    <t>Prairie</t>
  </si>
  <si>
    <t>Daggett 2</t>
  </si>
  <si>
    <t>Daggett 3</t>
  </si>
  <si>
    <t>Deer Creek 2</t>
  </si>
  <si>
    <t>Chaparral Springs</t>
  </si>
  <si>
    <t>Edwards Sanborn E3</t>
  </si>
  <si>
    <t>Edwards Sanborn E1A</t>
  </si>
  <si>
    <t>Edwards Sanborn E2</t>
  </si>
  <si>
    <t>Venture 1 - 1A CSG</t>
  </si>
  <si>
    <t>NMSU Solar and Storage</t>
  </si>
  <si>
    <t>Cuba 2.5ac, LLC</t>
  </si>
  <si>
    <t>Scarlet Solar (CA)</t>
  </si>
  <si>
    <t>Luciana</t>
  </si>
  <si>
    <t>Trona Solar III</t>
  </si>
  <si>
    <t>Edwards Sanborn S3</t>
  </si>
  <si>
    <t>Edwards Sanborn S1</t>
  </si>
  <si>
    <t>Fall River Solar, LLC</t>
  </si>
  <si>
    <t>BigBeau Solar, LLC</t>
  </si>
  <si>
    <t>Sacramento Point West Medical Offices</t>
  </si>
  <si>
    <t>SSI West Riverside Landfill LLC</t>
  </si>
  <si>
    <t>Sun Mountain Solar 1</t>
  </si>
  <si>
    <t>Kings River Syphon</t>
  </si>
  <si>
    <t>Blythe Mesa Solar II</t>
  </si>
  <si>
    <t>Niyol Wind, LLC</t>
  </si>
  <si>
    <t>Fremont CA AutoFactory</t>
  </si>
  <si>
    <t>Berrenda Mesa Water District</t>
  </si>
  <si>
    <t>Pitkin County Solar</t>
  </si>
  <si>
    <t>IGS KSBD</t>
  </si>
  <si>
    <t>CA - DGS RFP - RJ Donovan State Prison</t>
  </si>
  <si>
    <t>CA-DGS-California Correctional Inst</t>
  </si>
  <si>
    <t>Fremont - Kato Rd</t>
  </si>
  <si>
    <t>University of the Pacific</t>
  </si>
  <si>
    <t>Five H Farms Solar Array</t>
  </si>
  <si>
    <t>Van der Kooi Dairy Solar Array</t>
  </si>
  <si>
    <t>Donaghy-Stockton</t>
  </si>
  <si>
    <t>Mtn. Solar 4 (CSG)</t>
  </si>
  <si>
    <t>CSP Los Angeles</t>
  </si>
  <si>
    <t>Broadway 3 - Tucson Phase I</t>
  </si>
  <si>
    <t>Broadway 3 - UC Merced 1</t>
  </si>
  <si>
    <t>Broadway 3 - UCSB Lot 38</t>
  </si>
  <si>
    <t>Broadway 4 - Target Shafter</t>
  </si>
  <si>
    <t>West Village Solar - Array 1Community So</t>
  </si>
  <si>
    <t>West Village Solar - Array 2 Community S</t>
  </si>
  <si>
    <t>Red Prairie Solar</t>
  </si>
  <si>
    <t>OK Produce Fresno Carport</t>
  </si>
  <si>
    <t>Hunter Solar, LLC (CO)</t>
  </si>
  <si>
    <t>Venture 2 - 1B</t>
  </si>
  <si>
    <t>Venture 3 - 1C</t>
  </si>
  <si>
    <t>Venture 4 - 1D</t>
  </si>
  <si>
    <t>Chambers 4 - Eastvale LGB3</t>
  </si>
  <si>
    <t>Chambers 4 - Redland LGB4</t>
  </si>
  <si>
    <t xml:space="preserve">Chambers 4 - Riverside LGB6 </t>
  </si>
  <si>
    <t>Chambers 4 - Rialto LGB8</t>
  </si>
  <si>
    <t>Chambers 4 - Sacramento SMF1</t>
  </si>
  <si>
    <t>Chambers 4 - Eastvale DCA2</t>
  </si>
  <si>
    <t>Chambers 4 - San Bernardino SNA7</t>
  </si>
  <si>
    <t>Wonderful Huller &amp; Shelling</t>
  </si>
  <si>
    <t>Wonderful Lost Hills</t>
  </si>
  <si>
    <t>Cedar Creek Wind, LLC</t>
  </si>
  <si>
    <t>8500 Balboa PV, LLC</t>
  </si>
  <si>
    <t>20333 Normandie PV, LLC</t>
  </si>
  <si>
    <t>CA - Ventura Co CCD - Moorpark College</t>
  </si>
  <si>
    <t>Lincoln WWTF Hybrid</t>
  </si>
  <si>
    <t>Bodega Avenue Solar LLC</t>
  </si>
  <si>
    <t>Rancho Cordova Medical Offices</t>
  </si>
  <si>
    <t>Boswell Wind</t>
  </si>
  <si>
    <t>Gilead Oceanside Solar Project</t>
  </si>
  <si>
    <t>Gilead Foster City Solar Project</t>
  </si>
  <si>
    <t>CA-Ventura Co CCD-Oxnard College Canopy</t>
  </si>
  <si>
    <t>Laredo Detention Facility - Solar 2, 3</t>
  </si>
  <si>
    <t>Sealed Air Madera Solar Project</t>
  </si>
  <si>
    <t>Graniterock Quarry</t>
  </si>
  <si>
    <t>Sierra Pacific Chinese Camp</t>
  </si>
  <si>
    <t>Vasquez V CSG</t>
  </si>
  <si>
    <t>CA-DGS-California Men's Colony</t>
  </si>
  <si>
    <t>CA-DGS- RFP-Correctional Training Fac</t>
  </si>
  <si>
    <t>CA-DGS RFP-Salinas Valley State Prison</t>
  </si>
  <si>
    <t>CA-DGS RFP-Pleasant Valley State Prison</t>
  </si>
  <si>
    <t>CA - Fresno County - Juvenile Hall</t>
  </si>
  <si>
    <t>Amazon Bakersfield 1 Solar Project</t>
  </si>
  <si>
    <t>Calibrant Bakersfield LLC</t>
  </si>
  <si>
    <t>Google Moffett Park Solar Project</t>
  </si>
  <si>
    <t>Gilead Sciences La Verne Rooftop Solar</t>
  </si>
  <si>
    <t>Gilcrest Sun CSG</t>
  </si>
  <si>
    <t>Orange Coast College PH2 Solar Project</t>
  </si>
  <si>
    <t>CA - Madera USD - Madera South HS</t>
  </si>
  <si>
    <t>BBARWA</t>
  </si>
  <si>
    <t>Gunnison Solar</t>
  </si>
  <si>
    <t>Niagara Bottling - Rialto</t>
  </si>
  <si>
    <t>Sandrini Solar 200</t>
  </si>
  <si>
    <t>Sandrini Solar 100</t>
  </si>
  <si>
    <t>Edwards Sanborn E1B</t>
  </si>
  <si>
    <t>Edwards Sanborn E4</t>
  </si>
  <si>
    <t>Edwards Sanborn E5</t>
  </si>
  <si>
    <t>Edwards Sanborn S4</t>
  </si>
  <si>
    <t>Appaloosa Solar I</t>
  </si>
  <si>
    <t>POM Juice Solar</t>
  </si>
  <si>
    <t>POM Beverage Solar</t>
  </si>
  <si>
    <t>Vikings Energy Farm</t>
  </si>
  <si>
    <t>Oberon Solar Project</t>
  </si>
  <si>
    <t>Oberon II Solar Project</t>
  </si>
  <si>
    <t>Schumann Wind Farm</t>
  </si>
  <si>
    <t>Canal Energy S23, LLC</t>
  </si>
  <si>
    <t>Victory Pass</t>
  </si>
  <si>
    <t>Arica Solar</t>
  </si>
  <si>
    <t>Carnes Creek Solar (CSG)</t>
  </si>
  <si>
    <t>Cosper Creek Solar (CSG)</t>
  </si>
  <si>
    <t>Fruitland Creek Solar (CSG)</t>
  </si>
  <si>
    <t>Kaiser Creek Solar (CSG)</t>
  </si>
  <si>
    <t>Linkville Solar (CSG)</t>
  </si>
  <si>
    <t>Sandy River Solar (CSG)</t>
  </si>
  <si>
    <t>Sesqui-C Solar (CSG)</t>
  </si>
  <si>
    <t>Ventura Solar</t>
  </si>
  <si>
    <t>Wonderful Nursery</t>
  </si>
  <si>
    <t>20701 Plummer PV, LLC</t>
  </si>
  <si>
    <t>DIA 8</t>
  </si>
  <si>
    <t>Ocotillo Wells</t>
  </si>
  <si>
    <t>Storey Solar and Storage</t>
  </si>
  <si>
    <t>Mesquite Solar 4, LLC</t>
  </si>
  <si>
    <t>Java Solar, LLC</t>
  </si>
  <si>
    <t>Sheep Creek Community Solar Farm</t>
  </si>
  <si>
    <t>Raptor Ridge</t>
  </si>
  <si>
    <t>USS Giveback Solar LLC (CSG)</t>
  </si>
  <si>
    <t>Grossmont-Cuyamaca-Cuyamaca Col. Solar &amp;</t>
  </si>
  <si>
    <t>IGS SBD1</t>
  </si>
  <si>
    <t>IGS SBD2</t>
  </si>
  <si>
    <t>Putah Creek Solar Farm North</t>
  </si>
  <si>
    <t>Windsor Solar</t>
  </si>
  <si>
    <t>Cortez Solar 1, LLC</t>
  </si>
  <si>
    <t>IGS VGT</t>
  </si>
  <si>
    <t>IGS LAS1</t>
  </si>
  <si>
    <t>Babbitt Ranch Energy Center</t>
  </si>
  <si>
    <t>West Line Solar, LLC</t>
  </si>
  <si>
    <t>Cortez Solar 3, LLC</t>
  </si>
  <si>
    <t>Smithfield 1</t>
  </si>
  <si>
    <t>Smithfield 3</t>
  </si>
  <si>
    <t>Jicarilla Solar 1 LLC</t>
  </si>
  <si>
    <t>Cortez Solar 2, LLC</t>
  </si>
  <si>
    <t>Clearwater Wind East</t>
  </si>
  <si>
    <t>Clearwater Wind II</t>
  </si>
  <si>
    <t>POM Plant 1</t>
  </si>
  <si>
    <t>POM Plant 2</t>
  </si>
  <si>
    <t>Lake Elsinore Canopies - Lakeside HS</t>
  </si>
  <si>
    <t>Ash Mesa Solar, LLC</t>
  </si>
  <si>
    <t>Eleven Mile Solar Center</t>
  </si>
  <si>
    <t>Steel Solar LLC</t>
  </si>
  <si>
    <t>Proxima</t>
  </si>
  <si>
    <t>Ameresco HCE Solar LLC</t>
  </si>
  <si>
    <t>NMRD Data Center III, LLC</t>
  </si>
  <si>
    <t>Wonderful Firebaugh</t>
  </si>
  <si>
    <t>Wonderful Kings</t>
  </si>
  <si>
    <t>Green Solar LLC (CSG)</t>
  </si>
  <si>
    <t>Marble Solar LLC (CSG)</t>
  </si>
  <si>
    <t>Sheridan Solar LLC (CSG)</t>
  </si>
  <si>
    <t>Wallace Solar LLC (CSG)</t>
  </si>
  <si>
    <t>Yellow Pine Solar</t>
  </si>
  <si>
    <t>NSE Astoria - Skyward</t>
  </si>
  <si>
    <t>Auburn Solar LLC (CSG)</t>
  </si>
  <si>
    <t>Alta Sea</t>
  </si>
  <si>
    <t>Red Mesa Solar Project</t>
  </si>
  <si>
    <t>Chaves County Solar II</t>
  </si>
  <si>
    <t>AJMS, LLC</t>
  </si>
  <si>
    <t>Buena Vista Energy Center</t>
  </si>
  <si>
    <t>Spanish Fork Community Solar</t>
  </si>
  <si>
    <t>USS Fruita Solar LLC CSG</t>
  </si>
  <si>
    <t>USS Cogburn Solar LLC (CSG)</t>
  </si>
  <si>
    <t>Blue Skies Solar, LLC</t>
  </si>
  <si>
    <t>Clovis High School</t>
  </si>
  <si>
    <t>Clovis East High School</t>
  </si>
  <si>
    <t>Clovis North High School</t>
  </si>
  <si>
    <t>CA Jurupa Valley 3251 De Forest Circle</t>
  </si>
  <si>
    <t>Henry Miller RD</t>
  </si>
  <si>
    <t>West Tambo Clean Power II</t>
  </si>
  <si>
    <t>CA Manteca 730 Spreckels Ave</t>
  </si>
  <si>
    <t>BCE Los Alamitos 2</t>
  </si>
  <si>
    <t>BCE Los Alamitos 1</t>
  </si>
  <si>
    <t>Black Mesa Solar, LLC</t>
  </si>
  <si>
    <t>San Juan Solar I</t>
  </si>
  <si>
    <t>Baldy Mesa Solar &amp; Storage</t>
  </si>
  <si>
    <t>IGS OXR1</t>
  </si>
  <si>
    <t>Resurgence Solar II</t>
  </si>
  <si>
    <t>9150 Hermosa Solar GM</t>
  </si>
  <si>
    <t>Sonoran Solar Energy</t>
  </si>
  <si>
    <t>McFarland A Solar and Storage</t>
  </si>
  <si>
    <t>McFarland B Solar and Storage</t>
  </si>
  <si>
    <t>City of Rosamond (CA)</t>
  </si>
  <si>
    <t>Visalia CSG LLC</t>
  </si>
  <si>
    <t>Tulare CSG LLC</t>
  </si>
  <si>
    <t>Lockhart Solar PV II</t>
  </si>
  <si>
    <t>Wheeler Ridge</t>
  </si>
  <si>
    <t>Crystal Farms Local Solar</t>
  </si>
  <si>
    <t>Fresno Community Solar</t>
  </si>
  <si>
    <t>Lost Hills Oilfield</t>
  </si>
  <si>
    <t>Estrella Solar &amp; Storage</t>
  </si>
  <si>
    <t>Raceway Solar &amp; Storage</t>
  </si>
  <si>
    <t>Agriculture Capital - Legacy Packing</t>
  </si>
  <si>
    <t>Bishop Ranch - BR 1-Y</t>
  </si>
  <si>
    <t>Bishop Ranch - BR 8-P</t>
  </si>
  <si>
    <t>Vulcan San Emidio Solar</t>
  </si>
  <si>
    <t>SEPV Cuyama Hybrid</t>
  </si>
  <si>
    <t>Avenue 26 Solar</t>
  </si>
  <si>
    <t>Sky Ranch Solar</t>
  </si>
  <si>
    <t>Blackjack Solar</t>
  </si>
  <si>
    <t>Baldy Mesa 2_Silver Peak Hybrid</t>
  </si>
  <si>
    <t>Escalante (NM)</t>
  </si>
  <si>
    <t>SR McNeal</t>
  </si>
  <si>
    <t>Skysol</t>
  </si>
  <si>
    <t>East Victory Way Solar</t>
  </si>
  <si>
    <t>VS BC Pacific Gateway, LLC</t>
  </si>
  <si>
    <t>Scarlet II Hybrid</t>
  </si>
  <si>
    <t>MDU / NVSS-II</t>
  </si>
  <si>
    <t>Cawelo Water District Solar</t>
  </si>
  <si>
    <t>Sunny Cow Solar, LLC</t>
  </si>
  <si>
    <t>Roundhouse Renewable Energy II</t>
  </si>
  <si>
    <t>Elkhorn Dairy</t>
  </si>
  <si>
    <t>IPC 25 Solar</t>
  </si>
  <si>
    <t>Case Vander Eyk, Jr Dairy Solar</t>
  </si>
  <si>
    <t>Yellow Pine II</t>
  </si>
  <si>
    <t>Paulsell</t>
  </si>
  <si>
    <t>South Cheyenne Solar</t>
  </si>
  <si>
    <t>Springfield Wind</t>
  </si>
  <si>
    <t>Amazon SAN3 Solar Project</t>
  </si>
  <si>
    <t>Mohave Energy - Hybrid</t>
  </si>
  <si>
    <t>Cabrillo College</t>
  </si>
  <si>
    <t>Franklin Solar Hybrid</t>
  </si>
  <si>
    <t>DIA 9</t>
  </si>
  <si>
    <t>SF Auto T1</t>
  </si>
  <si>
    <t>Mesa Wind Repower</t>
  </si>
  <si>
    <t>Goose Prairie Solar</t>
  </si>
  <si>
    <t>Tejon Castac Water District Solar</t>
  </si>
  <si>
    <t>CSWIND America Inc.</t>
  </si>
  <si>
    <t>Double J Dairy Array</t>
  </si>
  <si>
    <t>Pivot Solar 9</t>
  </si>
  <si>
    <t>Pivot Solar 10</t>
  </si>
  <si>
    <t>CBEP Solar 1, LLC</t>
  </si>
  <si>
    <t>CBEP Solar 4, LLC</t>
  </si>
  <si>
    <t>CBEP Solar 5, LLC</t>
  </si>
  <si>
    <t>Grossmont College</t>
  </si>
  <si>
    <t>Lone Oak</t>
  </si>
  <si>
    <t>CSU Sacramento I</t>
  </si>
  <si>
    <t>RB Inyokern Solar WDAT 1203 (CSG)</t>
  </si>
  <si>
    <t>RB Inyokern Solar WDAT 1281 (CSG)</t>
  </si>
  <si>
    <t>Zonneveld Oak Grove</t>
  </si>
  <si>
    <t>River Ranch Dairy</t>
  </si>
  <si>
    <t>Bishop Ranch BR 1-X</t>
  </si>
  <si>
    <t>Highway 43 1887-WD</t>
  </si>
  <si>
    <t>Nachtigall 1836-WD</t>
  </si>
  <si>
    <t>Terry 1818-WD</t>
  </si>
  <si>
    <t>Kern Sunset 1886-WD</t>
  </si>
  <si>
    <t>Open Sky Ranch Inc</t>
  </si>
  <si>
    <t>City of Atwater NEM</t>
  </si>
  <si>
    <t>Brittlebush Solar</t>
  </si>
  <si>
    <t>Dixie Creek Dairy Solar</t>
  </si>
  <si>
    <t>TJX Tucson</t>
  </si>
  <si>
    <t>TJX Phoenix</t>
  </si>
  <si>
    <t>TJX Las Vegas</t>
  </si>
  <si>
    <t>Costa View Farms</t>
  </si>
  <si>
    <t>Luna Valley</t>
  </si>
  <si>
    <t>Hardy Hills Solar Energy LLC</t>
  </si>
  <si>
    <t>Delta Electronics Fremont</t>
  </si>
  <si>
    <t>TWC</t>
  </si>
  <si>
    <t>Paso Robles - Municipal Airport</t>
  </si>
  <si>
    <t>Harris Farms Solar Facility</t>
  </si>
  <si>
    <t>Altwind 1 - Altwind 1</t>
  </si>
  <si>
    <t>P1</t>
  </si>
  <si>
    <t>Altwind 2 - Altwind 2</t>
  </si>
  <si>
    <t>P2</t>
  </si>
  <si>
    <t>Altwind 3 - Altwind 3</t>
  </si>
  <si>
    <t>P3</t>
  </si>
  <si>
    <t>Desert Winds I - Desert Winds I</t>
  </si>
  <si>
    <t>P4</t>
  </si>
  <si>
    <t>Desert Winds II Pwr Purch Trst - Desert Winds II Pwr Purch Trst</t>
  </si>
  <si>
    <t>P5</t>
  </si>
  <si>
    <t>Desert Winds III - Desert Winds III</t>
  </si>
  <si>
    <t>P6</t>
  </si>
  <si>
    <t>San Gorgonio Altwind - San Gorgonio Altwind</t>
  </si>
  <si>
    <t>P7</t>
  </si>
  <si>
    <t>San Gorgonio East - San Gorgonio East</t>
  </si>
  <si>
    <t>P8</t>
  </si>
  <si>
    <t>1122-11423 Vanowen - FITS1042 - 11423 Vanowen St</t>
  </si>
  <si>
    <t>P9</t>
  </si>
  <si>
    <t>1160-2645 La Cienega Ave - FITS1043 - 2645 LA CIENEGA</t>
  </si>
  <si>
    <t>P10</t>
  </si>
  <si>
    <t>1254-10261 Glenoaks Blvd - FITS1039 - 10261 Glenoaks Blvd</t>
  </si>
  <si>
    <t>P11</t>
  </si>
  <si>
    <t>1425-12360 Foothill Blvd - FITS1041 - 12360 FOOTHILL BL</t>
  </si>
  <si>
    <t>P12</t>
  </si>
  <si>
    <t>14539 Blythe Solar PV - FITS1011 - 14539 Blythe St</t>
  </si>
  <si>
    <t>P13</t>
  </si>
  <si>
    <t>21717 Nordhoff - FiTS1007 - 21717 Nordhoff St</t>
  </si>
  <si>
    <t>P14</t>
  </si>
  <si>
    <t>8011-658 Venice Blvd. - FITS 1044 658 Venice Blvd</t>
  </si>
  <si>
    <t>P15</t>
  </si>
  <si>
    <t>Bathke Broadway Properties - FiTS1001 - 2515 S Broadway</t>
  </si>
  <si>
    <t>P16</t>
  </si>
  <si>
    <t>Capelin Distribution Center - FiTS1006 - 20000 S Western Ave</t>
  </si>
  <si>
    <t>P17</t>
  </si>
  <si>
    <t>Cathay LA - Solar Project - FiTS1021 - 1501 N Main</t>
  </si>
  <si>
    <t>P18</t>
  </si>
  <si>
    <t>Chatsmouth Solar Project 1 - FiTS1002 - 9640 Owensmouth</t>
  </si>
  <si>
    <t>P19</t>
  </si>
  <si>
    <t>DS2 Solar FiT Project - FiTS1089 - 1115-1129 S Boyle Avenue</t>
  </si>
  <si>
    <t>P20</t>
  </si>
  <si>
    <t>DS3 Solar FiT Project - FiTS1090 - 1103-1109 S Boyle Avenue</t>
  </si>
  <si>
    <t>P21</t>
  </si>
  <si>
    <t>Figueroa &amp; Ave 61 Center - FiTS1028 - 6100 North Figueroa St</t>
  </si>
  <si>
    <t>P22</t>
  </si>
  <si>
    <t>FITS1017 - 11115 Laurel Canyon Blvd - FITS1017 - 11115 Laurel Canyon Blvd</t>
  </si>
  <si>
    <t>P23</t>
  </si>
  <si>
    <t>Harbor Regional Park Ground Mount Solar Array - FITS1085 - 1581 West L Street</t>
  </si>
  <si>
    <t>P24</t>
  </si>
  <si>
    <t>KSI Solar Whiteman - FITS1019 - 10500 Airpark Way</t>
  </si>
  <si>
    <t>P25</t>
  </si>
  <si>
    <t>LAX Logistic Industrial Center - FiTD1012 - 5343/5353 Imperial Hwy</t>
  </si>
  <si>
    <t>P26</t>
  </si>
  <si>
    <t>Layline Distribution Center - FiTS1003 - 1000 W Francisco St</t>
  </si>
  <si>
    <t>P27</t>
  </si>
  <si>
    <t>Mastercraft 96.64kW Solar PV - FITS1020 - 7463 Varna</t>
  </si>
  <si>
    <t>P28</t>
  </si>
  <si>
    <t>M-C Investments 4558 Brazil - FITS1065-4558 Brazil</t>
  </si>
  <si>
    <t>P29</t>
  </si>
  <si>
    <t>North Figueroa &amp; Ave. 58-59 Center - FITS1071-5801 N. Figueroa</t>
  </si>
  <si>
    <t>P30</t>
  </si>
  <si>
    <t>Oxen Solar I - FiTD1019 - 11313 Oxnard St.</t>
  </si>
  <si>
    <t>P31</t>
  </si>
  <si>
    <t>Prairie Solar I - FiTS1025 - 20001 W Prairie</t>
  </si>
  <si>
    <t>P32</t>
  </si>
  <si>
    <t>Prairie Solar II - FiTS1026 - 19809 W Prairie</t>
  </si>
  <si>
    <t>P33</t>
  </si>
  <si>
    <t>Saf Keep Melrose - FITS1016 - 4996 Melrose Ave</t>
  </si>
  <si>
    <t>P34</t>
  </si>
  <si>
    <t>Saf Keep San Fernando - FITS1008 - 2840 San Fernando Rd</t>
  </si>
  <si>
    <t>P35</t>
  </si>
  <si>
    <t>Shri Ji Ram Solar FIT Project - FITS1047 - 1933 W 60TH ST</t>
  </si>
  <si>
    <t>P36</t>
  </si>
  <si>
    <t>SOL #1235 LOS ANGELES - FITS1040 - 6005/6033 S CENTRAL AV</t>
  </si>
  <si>
    <t>P37</t>
  </si>
  <si>
    <t>Sunstarter Solar CXVI - FiTS1027 - 3650 E Olympic Blvd</t>
  </si>
  <si>
    <t>P38</t>
  </si>
  <si>
    <t>Tangen Building - FITS1009 - 11205 S Broadway Place</t>
  </si>
  <si>
    <t>P39</t>
  </si>
  <si>
    <t>Van Nuys Air - Hannah Solar - FiTD1011 - 7855 Hayvenhurst Ave</t>
  </si>
  <si>
    <t>P40</t>
  </si>
  <si>
    <t>Aeroplex - FITS1100 - 16143 Waterman Dr</t>
  </si>
  <si>
    <t>P41</t>
  </si>
  <si>
    <t>Aeroplex 2 - FITS1099 - 7943 -7949 Woodley Ave</t>
  </si>
  <si>
    <t>P42</t>
  </si>
  <si>
    <t>Flight Building 1 - FITS1049 - 16665 16667 Arminta St</t>
  </si>
  <si>
    <t>P43</t>
  </si>
  <si>
    <t>Flight Building 6 - FITS1054 - 16543 16545 Arminta St</t>
  </si>
  <si>
    <t>P44</t>
  </si>
  <si>
    <t>Flight Building 7 - FITS1055 - 7901 7915 7929 Ruffner Ave</t>
  </si>
  <si>
    <t>P45</t>
  </si>
  <si>
    <t>Flight Building 8 - FITS1056 - 16638 Arminta St</t>
  </si>
  <si>
    <t>P46</t>
  </si>
  <si>
    <t>Flight Building 10 - FITS1058 - 16604 16608 Arminta St</t>
  </si>
  <si>
    <t>P47</t>
  </si>
  <si>
    <t>Van Nuys Air - 16620 Stagg St - FITS1048 - 16620 Stagg St</t>
  </si>
  <si>
    <t>P48</t>
  </si>
  <si>
    <t>Flight Building 2</t>
  </si>
  <si>
    <t>P49</t>
  </si>
  <si>
    <t>Flight Building 3 - FITS1051 - 16637 16639 Arminta St</t>
  </si>
  <si>
    <t>P50</t>
  </si>
  <si>
    <t>Flight Building 4 - FITS1052 - 16625 Arminta St</t>
  </si>
  <si>
    <t>P51</t>
  </si>
  <si>
    <t>Flight Building 5 - FITS1053 - 16611 16615 Arminta St</t>
  </si>
  <si>
    <t>P52</t>
  </si>
  <si>
    <t>Foothill - FITS1087 - 7061 Foothill Blvd</t>
  </si>
  <si>
    <t>P53</t>
  </si>
  <si>
    <t>13207 Bradley Avenue - FITS1098 - 13207 Bradley Avenue</t>
  </si>
  <si>
    <t>P54</t>
  </si>
  <si>
    <t>Flight Building 11 - FITS1059 - 16554 16556 Arminta St</t>
  </si>
  <si>
    <t>P55</t>
  </si>
  <si>
    <t>Flight Building 12 - FITS1060 - 16540 16542 Arminta St</t>
  </si>
  <si>
    <t>P56</t>
  </si>
  <si>
    <t>Flight Building 13 - FITS1061 - 16508-16526 Arminta St</t>
  </si>
  <si>
    <t>P57</t>
  </si>
  <si>
    <t>Sun Valley 2 - FITS1101 - 11063 Pendleton Ave</t>
  </si>
  <si>
    <t>P58</t>
  </si>
  <si>
    <t>BJE Solar FiT Project II - FITS1083 - 12607 Sherman Way</t>
  </si>
  <si>
    <t>P59</t>
  </si>
  <si>
    <t>Flight Building 9 - FITS1057 - 16626 Arminta St</t>
  </si>
  <si>
    <t>P60</t>
  </si>
  <si>
    <t>Valley Solar 1 - FITS1094 - 9340 9400 Penfield Ave</t>
  </si>
  <si>
    <t>P61</t>
  </si>
  <si>
    <t>Valley Solar 5 - FITS1093 - 9330 Winnetka Ave N</t>
  </si>
  <si>
    <t>P62</t>
  </si>
  <si>
    <t>Valley Solar 6 - FITS1095 - 19840 19860 Nordhoff Pl</t>
  </si>
  <si>
    <t>P63</t>
  </si>
  <si>
    <t>BJE Solar FiT Project - FITS1084 - 7230 Bellaire Avenue</t>
  </si>
  <si>
    <t>P64</t>
  </si>
  <si>
    <t>WE Solar FiT Project - FITS1082 - 11308 Penrose St</t>
  </si>
  <si>
    <t>P65</t>
  </si>
  <si>
    <t>US Customhouse - BP 14-011G - 300 S Ferry St</t>
  </si>
  <si>
    <t>P66</t>
  </si>
  <si>
    <t>Berths 153 154-155 - BP14-009F - 804 S Pier A St</t>
  </si>
  <si>
    <t>P67</t>
  </si>
  <si>
    <t>Ardagh Cannery Building 8 - BP14-011D 936 S Barracuda St</t>
  </si>
  <si>
    <t>P68</t>
  </si>
  <si>
    <t>Napa FIT - FITS1073 - 16901-16915 Napa St</t>
  </si>
  <si>
    <t>P69</t>
  </si>
  <si>
    <t>Flight Building 14 - FITS1062 - 7861 Ruffner Avenue 16710 Stagg St</t>
  </si>
  <si>
    <t>P70</t>
  </si>
  <si>
    <t>Woodman and Nordhoff Center - FITS1067 - 9011-9079 Woodman Ave</t>
  </si>
  <si>
    <t>P71</t>
  </si>
  <si>
    <t>De Soto - FITS1103 - 9401 De Soto Ave</t>
  </si>
  <si>
    <t>P72</t>
  </si>
  <si>
    <t>LA Convention Center Carport Solar</t>
  </si>
  <si>
    <t>P73</t>
  </si>
  <si>
    <t>Main St - General Service HQ - Bldg 13 Rooftop Solar</t>
  </si>
  <si>
    <t>P74</t>
  </si>
  <si>
    <t>Metro Center - Parking Garage Rooftop Solar</t>
  </si>
  <si>
    <t>P75</t>
  </si>
  <si>
    <t>Owens Dry Lake Solar Demonstration - Owens Lake Solar Demo</t>
  </si>
  <si>
    <t>P76</t>
  </si>
  <si>
    <t>Valley Generating Station - Admin Bldg Canopy Solar</t>
  </si>
  <si>
    <t>P77</t>
  </si>
  <si>
    <t>Harbor Generating Station - HGS Warehouse Solar</t>
  </si>
  <si>
    <t>P78</t>
  </si>
  <si>
    <t>Solar Rooftops Program - Group 1</t>
  </si>
  <si>
    <t>P79</t>
  </si>
  <si>
    <t>Haiwee Power Plant - Haiwee Power Plant HAI1</t>
  </si>
  <si>
    <t>P80</t>
  </si>
  <si>
    <t>Haiwee Power Plant - Haiwee Power Plant HAI2</t>
  </si>
  <si>
    <t>P81</t>
  </si>
  <si>
    <t>AT&amp;T Park Solar Arrays</t>
  </si>
  <si>
    <t>P82</t>
  </si>
  <si>
    <t>SF Service Center Solar Array 1</t>
  </si>
  <si>
    <t>P83</t>
  </si>
  <si>
    <t>SF Service Center Solar Array 2</t>
  </si>
  <si>
    <t>P84</t>
  </si>
  <si>
    <t>CHARCOAL RAVINE</t>
  </si>
  <si>
    <t>P85</t>
  </si>
  <si>
    <t>HAT CREEK HEREFORD RANCH</t>
  </si>
  <si>
    <t>P86</t>
  </si>
  <si>
    <t>JAMES B. PETER</t>
  </si>
  <si>
    <t>P87</t>
  </si>
  <si>
    <t>JAMES CRANE HYDRO</t>
  </si>
  <si>
    <t>P88</t>
  </si>
  <si>
    <t>JOHN NEERHOUT JR.</t>
  </si>
  <si>
    <t>P89</t>
  </si>
  <si>
    <t>KINGS RIVER HYDRO CO.</t>
  </si>
  <si>
    <t>P90</t>
  </si>
  <si>
    <t>LOFTON RANCH</t>
  </si>
  <si>
    <t>P91</t>
  </si>
  <si>
    <t>ORANGE COVE IRRIGATION DIST.</t>
  </si>
  <si>
    <t>P92</t>
  </si>
  <si>
    <t>ROCK CREEK WATER DISTRICT</t>
  </si>
  <si>
    <t>P93</t>
  </si>
  <si>
    <t>SCHAADS HYDRO</t>
  </si>
  <si>
    <t>P94</t>
  </si>
  <si>
    <t>SWISS AMERICA</t>
  </si>
  <si>
    <t>P95</t>
  </si>
  <si>
    <t>2103 HILL PRISTINE SUN LLC</t>
  </si>
  <si>
    <t>P96</t>
  </si>
  <si>
    <t>2105 HART (Oroville Solar)</t>
  </si>
  <si>
    <t>P97</t>
  </si>
  <si>
    <t>2154 Foote (Oroville Solar)</t>
  </si>
  <si>
    <t>P98</t>
  </si>
  <si>
    <t>AMERICAN ENERGY, INC. (SAN LUIS BYPASS)</t>
  </si>
  <si>
    <t>P99</t>
  </si>
  <si>
    <t>AMERICAN ENERGY, INC. (WOLFSEN BYPASS )</t>
  </si>
  <si>
    <t>P100</t>
  </si>
  <si>
    <t>APEX 646-460</t>
  </si>
  <si>
    <t>P101</t>
  </si>
  <si>
    <t>BROWNS VALLEY IRRIGATION DISTRICT</t>
  </si>
  <si>
    <t>P102</t>
  </si>
  <si>
    <t xml:space="preserve">BUCKEYE HYDROELECTRIC PROJECT </t>
  </si>
  <si>
    <t>P103</t>
  </si>
  <si>
    <t>CALAVERAS PUBLIC UTILITY DISTRICT #1</t>
  </si>
  <si>
    <t>P104</t>
  </si>
  <si>
    <t>CALAVERAS PUBLIC UTILITY DISTRICT #2</t>
  </si>
  <si>
    <t>P105</t>
  </si>
  <si>
    <t>CALAVERAS PUBLIC UTILITY DISTRICT #3</t>
  </si>
  <si>
    <t>P106</t>
  </si>
  <si>
    <t>DIGGER CREEK RANCH</t>
  </si>
  <si>
    <t>P107</t>
  </si>
  <si>
    <t>Goose Valley Hydro (SB32)</t>
  </si>
  <si>
    <t>P108</t>
  </si>
  <si>
    <t>GreenLight- Peacock Solar Project</t>
  </si>
  <si>
    <t>P109</t>
  </si>
  <si>
    <t>JACKSON VALLEY IRRIGATION DIST</t>
  </si>
  <si>
    <t>P110</t>
  </si>
  <si>
    <t>Lassen Station Hydro</t>
  </si>
  <si>
    <t>P111</t>
  </si>
  <si>
    <t>MADERA CANAL (1174 + 84)</t>
  </si>
  <si>
    <t>P112</t>
  </si>
  <si>
    <t>Madera Canal (1923)</t>
  </si>
  <si>
    <t>P113</t>
  </si>
  <si>
    <t>MADERA CANAL STATION 1302</t>
  </si>
  <si>
    <t>P114</t>
  </si>
  <si>
    <t>Mathew's Dam Hydro</t>
  </si>
  <si>
    <t>P115</t>
  </si>
  <si>
    <t>MCFADDEN HYDROELECTRIC FACILITY</t>
  </si>
  <si>
    <t>P116</t>
  </si>
  <si>
    <t>Mill Sulphur Creek Project</t>
  </si>
  <si>
    <t>P117</t>
  </si>
  <si>
    <t xml:space="preserve">NEVADA IRRIGATION DISTRICT NORTH COMBIE </t>
  </si>
  <si>
    <t>P118</t>
  </si>
  <si>
    <t xml:space="preserve">PCWA – Lincoln Metering and Hydroelectric Station </t>
  </si>
  <si>
    <t>P119</t>
  </si>
  <si>
    <t>Pristine Sun- 2192 Ramirez</t>
  </si>
  <si>
    <t>P120</t>
  </si>
  <si>
    <t>Pristine Sun Alvares 2041</t>
  </si>
  <si>
    <t>P121</t>
  </si>
  <si>
    <t>Pristine Sun Buzzelle</t>
  </si>
  <si>
    <t>P122</t>
  </si>
  <si>
    <t>Pristine Sun Christensen</t>
  </si>
  <si>
    <t>P123</t>
  </si>
  <si>
    <t>Pristine Sun Cotton 2096</t>
  </si>
  <si>
    <t>P124</t>
  </si>
  <si>
    <t>PRISTINE SUN FITZJARRELL</t>
  </si>
  <si>
    <t>P125</t>
  </si>
  <si>
    <t>Pristine Sun Jardine</t>
  </si>
  <si>
    <t>P126</t>
  </si>
  <si>
    <t>PRISTINE SUN JARVIS</t>
  </si>
  <si>
    <t>P127</t>
  </si>
  <si>
    <t>Pristine Sun Rogers</t>
  </si>
  <si>
    <t>P128</t>
  </si>
  <si>
    <t>Pristine Sun Scherz</t>
  </si>
  <si>
    <t>P129</t>
  </si>
  <si>
    <t xml:space="preserve">Pristine Sun Smotherman </t>
  </si>
  <si>
    <t>P130</t>
  </si>
  <si>
    <t>Pristine Sun Stroing</t>
  </si>
  <si>
    <t>P131</t>
  </si>
  <si>
    <t>Termoelectrica de Mexicali (MEX)</t>
  </si>
  <si>
    <t>P132</t>
  </si>
  <si>
    <t>Salmon Creek Hydroelectric Project</t>
  </si>
  <si>
    <t>P133</t>
  </si>
  <si>
    <t>P134</t>
  </si>
  <si>
    <t>SHAMROCK UTILITIES (CEDAR FLAT)</t>
  </si>
  <si>
    <t>P135</t>
  </si>
  <si>
    <t>SHAMROCK UTILITIES (CLOVER LEAF)</t>
  </si>
  <si>
    <t>P136</t>
  </si>
  <si>
    <t xml:space="preserve">SIERRA GREEN ENERGY </t>
  </si>
  <si>
    <t>P137</t>
  </si>
  <si>
    <t>SILVER SPRINGS</t>
  </si>
  <si>
    <t>P138</t>
  </si>
  <si>
    <t>Sirius Solar</t>
  </si>
  <si>
    <t>P139</t>
  </si>
  <si>
    <t xml:space="preserve">TUNNEL HILL HYDROELECTRIC PROJECT </t>
  </si>
  <si>
    <t>P140</t>
  </si>
  <si>
    <t>Twin Valley Hydro</t>
  </si>
  <si>
    <t>P141</t>
  </si>
  <si>
    <t>Water Wheel Ranch</t>
  </si>
  <si>
    <t>P142</t>
  </si>
  <si>
    <t>YUBA COUNTY WATER AGENCY (Mini Hydro)</t>
  </si>
  <si>
    <t>P143</t>
  </si>
  <si>
    <t>GRASSHOPPER FLAT</t>
  </si>
  <si>
    <t>P144</t>
  </si>
  <si>
    <t xml:space="preserve">Sutter's Mill </t>
  </si>
  <si>
    <t>P145</t>
  </si>
  <si>
    <t xml:space="preserve">Hayward Paul Luckey </t>
  </si>
  <si>
    <t>P146</t>
  </si>
  <si>
    <t>J Bar 9 Ranch, Inc. (LU)</t>
  </si>
  <si>
    <t>P147</t>
  </si>
  <si>
    <t>West Side</t>
  </si>
  <si>
    <t>P148</t>
  </si>
  <si>
    <t>Cape Scott Wind (CAN)</t>
  </si>
  <si>
    <t>P149</t>
  </si>
  <si>
    <t>Dokie Wind (CAN)</t>
  </si>
  <si>
    <t>P150</t>
  </si>
  <si>
    <t>Meikle Wind (CAN)</t>
  </si>
  <si>
    <t>P151</t>
  </si>
  <si>
    <t>Moose Lake Wind (CAN)</t>
  </si>
  <si>
    <t>P152</t>
  </si>
  <si>
    <t>Pennask Wind (CAN)</t>
  </si>
  <si>
    <t>P153</t>
  </si>
  <si>
    <t>Quality Wind (CAN)</t>
  </si>
  <si>
    <t>P154</t>
  </si>
  <si>
    <t>FIT - McClellan Park</t>
  </si>
  <si>
    <t>P155</t>
  </si>
  <si>
    <t>Sutter's Landing Solar</t>
  </si>
  <si>
    <t>P156</t>
  </si>
  <si>
    <t>SMUD PV - Hedge Substation PV Plant (Hedge units 1-4)</t>
  </si>
  <si>
    <t>P157</t>
  </si>
  <si>
    <t>Cal Expo</t>
  </si>
  <si>
    <t>P158</t>
  </si>
  <si>
    <t>Utility Operations Center</t>
  </si>
  <si>
    <t>P159</t>
  </si>
  <si>
    <t>Shinish Creek Wind (CAN)</t>
  </si>
  <si>
    <t>P160</t>
  </si>
  <si>
    <t>TerraGen Mojave Wind Farms, LLC - Morwind</t>
  </si>
  <si>
    <t>P161</t>
  </si>
  <si>
    <t>CITY OF WATSONVILLE</t>
  </si>
  <si>
    <t>P162</t>
  </si>
  <si>
    <t>BLAKE'S LANDING FARMS, INC.  (Biogas)</t>
  </si>
  <si>
    <t>P163</t>
  </si>
  <si>
    <t>Clover Flat LFG</t>
  </si>
  <si>
    <t>P164</t>
  </si>
  <si>
    <t>OPEN SKY DAIRY DIGESTER #2</t>
  </si>
  <si>
    <t>P165</t>
  </si>
  <si>
    <t>SAN LUIS OBISPO AD (aka HZIU Kompogas)</t>
  </si>
  <si>
    <t>P166</t>
  </si>
  <si>
    <t>VERWEY MADERA DAIRY DIGESTER 2 (NEW)</t>
  </si>
  <si>
    <t>P167</t>
  </si>
  <si>
    <t>ABEC Bidart-Stockdale LLC</t>
  </si>
  <si>
    <t>P168</t>
  </si>
  <si>
    <t>P169</t>
  </si>
  <si>
    <t>Van Warmerdam Dairy Digester</t>
  </si>
  <si>
    <t>P170</t>
  </si>
  <si>
    <t>New Hope Diary Digester</t>
  </si>
  <si>
    <t>P171</t>
  </si>
  <si>
    <t>Van Steyn</t>
  </si>
  <si>
    <t>P172</t>
  </si>
  <si>
    <t>Fiscalini Farms</t>
  </si>
  <si>
    <t>P173</t>
  </si>
  <si>
    <t>1080 CHESTNUT CORP.</t>
  </si>
  <si>
    <t>P174</t>
  </si>
  <si>
    <t>AIRPORT CLUB</t>
  </si>
  <si>
    <t>P175</t>
  </si>
  <si>
    <t>ARDEN WOOD BENEVOLENT ASSOC.</t>
  </si>
  <si>
    <t>P176</t>
  </si>
  <si>
    <t>P177</t>
  </si>
  <si>
    <t>GREATER VALLEJO RECREATION DISTRICT</t>
  </si>
  <si>
    <t>P178</t>
  </si>
  <si>
    <t>HAYWARD AREA REC &amp; PARK DIST.</t>
  </si>
  <si>
    <t>P179</t>
  </si>
  <si>
    <t>NIHONMACHI TERRACE</t>
  </si>
  <si>
    <t>P180</t>
  </si>
  <si>
    <t>ORINDA SENIOR VILLAGE</t>
  </si>
  <si>
    <t>P181</t>
  </si>
  <si>
    <t>SATELLITE SENIOR HOMES</t>
  </si>
  <si>
    <t>P182</t>
  </si>
  <si>
    <t>UC Davis Medical Center</t>
  </si>
  <si>
    <t>P183</t>
  </si>
  <si>
    <t>Elk Grove Milling</t>
  </si>
  <si>
    <t>P184</t>
  </si>
  <si>
    <t>GFP Ethanol, LLC dba Calgren Renew Fuels (Pixley Cogen Partners, LLC)</t>
  </si>
  <si>
    <t>P185</t>
  </si>
  <si>
    <t xml:space="preserve">Techni-Cast Corp </t>
  </si>
  <si>
    <t>P186</t>
  </si>
  <si>
    <t>Aligned Microgrid</t>
  </si>
  <si>
    <t>P187</t>
  </si>
  <si>
    <t>P188</t>
  </si>
  <si>
    <t>PacifiCorp - MJRP (TWO)</t>
  </si>
  <si>
    <t>P190</t>
  </si>
  <si>
    <t>P193</t>
  </si>
  <si>
    <t>La Rosita Power Project (MEX)</t>
  </si>
  <si>
    <t>P194</t>
  </si>
  <si>
    <t>MCAS Yuma Microgrid MCGX02</t>
  </si>
  <si>
    <t>P195</t>
  </si>
  <si>
    <t>Stotz Southern Generation [Digester Gas]</t>
  </si>
  <si>
    <t>P197</t>
  </si>
  <si>
    <t>Energía Sierra Juárez Wind 2 (MEX)</t>
  </si>
  <si>
    <t>P198</t>
  </si>
  <si>
    <t>26-foot Drop Small Hydro</t>
  </si>
  <si>
    <t>P199</t>
  </si>
  <si>
    <t>Blackspring Ridge 1A Wind (CAN)</t>
  </si>
  <si>
    <t>P200</t>
  </si>
  <si>
    <t>Blackspring Ridge 1B Wind (CAN)</t>
  </si>
  <si>
    <t>P201</t>
  </si>
  <si>
    <t>Bridge River 1 Hydroelectric Generation Facility (CAN)</t>
  </si>
  <si>
    <t>P202</t>
  </si>
  <si>
    <t>Bridge River 2 Hydroelectric Generation Facility (CAN)</t>
  </si>
  <si>
    <t>P203</t>
  </si>
  <si>
    <t>Cheakamus Hydroelectric Generation Facility (CAN)</t>
  </si>
  <si>
    <t>P204</t>
  </si>
  <si>
    <t>Energía Sierra Juárez Wind (MEX)</t>
  </si>
  <si>
    <t>P205</t>
  </si>
  <si>
    <t>Grand View 5 East [Solar]</t>
  </si>
  <si>
    <t>P207</t>
  </si>
  <si>
    <t>G.M. Shrum Hydroelectric Generation Facility (CAN)</t>
  </si>
  <si>
    <t>P206</t>
  </si>
  <si>
    <t>Halkirk I Wind (CAN)</t>
  </si>
  <si>
    <t>P208</t>
  </si>
  <si>
    <t>Kootenay Canal Hydroelectric Generation Facility (CAN)</t>
  </si>
  <si>
    <t>P209</t>
  </si>
  <si>
    <t>Mica Hydroelectric Generation Facility (CAN)</t>
  </si>
  <si>
    <t>P210</t>
  </si>
  <si>
    <t>Peace Canyon Hydroelectric Generation Facility (CAN)</t>
  </si>
  <si>
    <t>P211</t>
  </si>
  <si>
    <t>Revelstoke Hydroelectric Generation Facility (CAN)</t>
  </si>
  <si>
    <t>P212</t>
  </si>
  <si>
    <t>Seven Mile Hydroelectric Generation Facility (CAN)</t>
  </si>
  <si>
    <t>P213</t>
  </si>
  <si>
    <t>Utility Built Solar (LADWP)</t>
  </si>
  <si>
    <t>P214</t>
  </si>
  <si>
    <t>FIT Solar</t>
  </si>
  <si>
    <t>P215</t>
  </si>
  <si>
    <t>IP Malbec</t>
  </si>
  <si>
    <t>P216</t>
  </si>
  <si>
    <t xml:space="preserve">Geo Solar 1 - Clearlake </t>
  </si>
  <si>
    <t>P217</t>
  </si>
  <si>
    <t>Geo Solar 2- Middletown</t>
  </si>
  <si>
    <t>P218</t>
  </si>
  <si>
    <t>BART Antioch Station JB-94525154</t>
  </si>
  <si>
    <t>P219</t>
  </si>
  <si>
    <t>BART Lafayette Station JB-94525155</t>
  </si>
  <si>
    <t>P220</t>
  </si>
  <si>
    <t>BART Warm Springs Station JB-94512464</t>
  </si>
  <si>
    <t>P221</t>
  </si>
  <si>
    <t>City of Rancho Cucamonga - City Hall</t>
  </si>
  <si>
    <t>P222</t>
  </si>
  <si>
    <t>City of Rancho Cucamonga - Animal Center Shelter</t>
  </si>
  <si>
    <t>P223</t>
  </si>
  <si>
    <t>City of Rancho Cucamonga - Epicenter</t>
  </si>
  <si>
    <t>P224</t>
  </si>
  <si>
    <t>Penitencia Water Treatment Plant PV</t>
  </si>
  <si>
    <t>P225</t>
  </si>
  <si>
    <t>Santa Teresa Water Treatment Plant PV</t>
  </si>
  <si>
    <t>P226</t>
  </si>
  <si>
    <t>Sonoma Valley Treatment Plant PV</t>
  </si>
  <si>
    <t>P227</t>
  </si>
  <si>
    <t>275 Cambridge Ave. Parking Garage - 275 Cambridge Garage</t>
  </si>
  <si>
    <t>P228</t>
  </si>
  <si>
    <t>445 Bryant St. Parking Garage - 445 Bryant St. Parking Garage</t>
  </si>
  <si>
    <t>P229</t>
  </si>
  <si>
    <t>475 Cambridge Ave. Parking Garage - 475 Cambridge Garage</t>
  </si>
  <si>
    <t>P230</t>
  </si>
  <si>
    <t>520 Webster St. Parking Garage - 520 Webster St. Parking Garage</t>
  </si>
  <si>
    <t>P231</t>
  </si>
  <si>
    <t>Unitarian Universalist Church of Palo Alto - UUCPA</t>
  </si>
  <si>
    <t>P232</t>
  </si>
  <si>
    <t>NR Grower Direct Nut</t>
  </si>
  <si>
    <t>P233</t>
  </si>
  <si>
    <t>NR Pohl and Holmes Inc</t>
  </si>
  <si>
    <t>P234</t>
  </si>
  <si>
    <t>Parking Structure (Main Office) - Turlock Solar Photovoltaic Project</t>
  </si>
  <si>
    <t>P235</t>
  </si>
  <si>
    <t>Clover Creek [Hydro]</t>
  </si>
  <si>
    <t>P236</t>
  </si>
  <si>
    <t>Lois &amp; Powell Lakes Dams (CAN)</t>
  </si>
  <si>
    <t>P237</t>
  </si>
  <si>
    <t>Hood Street Reservoir Project [Hydro]</t>
  </si>
  <si>
    <t>P239</t>
  </si>
  <si>
    <t>Two Fiets - Van Beek Brothers Dairy Digester</t>
  </si>
  <si>
    <t>P240</t>
  </si>
  <si>
    <t>Glendale Community College - Glen Solar 1 - Solar Parking Roof</t>
  </si>
  <si>
    <t>P241</t>
  </si>
  <si>
    <t>Rooftop Solar - City of Pittsburg</t>
  </si>
  <si>
    <t>P242</t>
  </si>
  <si>
    <t>Central Marin Sanitation Agency - CMSA Renewable Energy Expansion</t>
  </si>
  <si>
    <t>P243</t>
  </si>
  <si>
    <t>Cost Plus Plaza</t>
  </si>
  <si>
    <t>P244</t>
  </si>
  <si>
    <t>DRES Quarry 1</t>
  </si>
  <si>
    <t>P245</t>
  </si>
  <si>
    <t>DRES Quarry 2.4 - DRES Quarry 2.4</t>
  </si>
  <si>
    <t>P246</t>
  </si>
  <si>
    <t>Fairfield Power Plant (Papazian) - Fairfield Power Plant (Papazian)</t>
  </si>
  <si>
    <t>P247</t>
  </si>
  <si>
    <t>Freethy Industrial Park Unit #1</t>
  </si>
  <si>
    <t>P248</t>
  </si>
  <si>
    <t>Freethy Industrial Park Unit #2</t>
  </si>
  <si>
    <t>P249</t>
  </si>
  <si>
    <t>Marin Carport - Buck Institute</t>
  </si>
  <si>
    <t>P254</t>
  </si>
  <si>
    <t>San Rafael Airport</t>
  </si>
  <si>
    <t>P255</t>
  </si>
  <si>
    <t>San Rafael Airport II</t>
  </si>
  <si>
    <t>P256</t>
  </si>
  <si>
    <t>SWTC - Phase 2 - Small World Trading Co</t>
  </si>
  <si>
    <t>P257</t>
  </si>
  <si>
    <t>City of Moreno Valley - City Hall Solar Carport</t>
  </si>
  <si>
    <t>P258</t>
  </si>
  <si>
    <t>City of Colton - Gonzalez Community Center JB-9232227-00</t>
  </si>
  <si>
    <t>P259</t>
  </si>
  <si>
    <t>City of Colton - Arbor Terrace JB-9231899-00</t>
  </si>
  <si>
    <t>P260</t>
  </si>
  <si>
    <t>Jenny Strand Solar Park</t>
  </si>
  <si>
    <t>P261</t>
  </si>
  <si>
    <t>Santa Clara-Tioga Canopy</t>
  </si>
  <si>
    <t>P262</t>
  </si>
  <si>
    <t>Ameresco Santa Clara</t>
  </si>
  <si>
    <t>P263</t>
  </si>
  <si>
    <t>City of Oceanside (San Francisco Peak Hydro)</t>
  </si>
  <si>
    <t>P264</t>
  </si>
  <si>
    <t>Olivenhain Municipal Water District</t>
  </si>
  <si>
    <t>P265</t>
  </si>
  <si>
    <t>SDG&amp;E-owned PV system at Del Sur Elementary School</t>
  </si>
  <si>
    <t>P266</t>
  </si>
  <si>
    <t>SDG&amp;E-Owned PV System at Hunter Industries, Inc</t>
  </si>
  <si>
    <t>P267</t>
  </si>
  <si>
    <t>SDG&amp;E owned PV Facility at Pacific Station</t>
  </si>
  <si>
    <t>P268</t>
  </si>
  <si>
    <t>SDG&amp;E- owned PV system at Sanford-burnham Medical Research Institute I</t>
  </si>
  <si>
    <t>P269</t>
  </si>
  <si>
    <t>SDG&amp;E-Owned PV System at the Towers at Bressi Ranch</t>
  </si>
  <si>
    <t>P270</t>
  </si>
  <si>
    <t>SDG&amp;E owned PV Facility at Wilco Investments</t>
  </si>
  <si>
    <t>P271</t>
  </si>
  <si>
    <t>SFO International Airport - SFO International Airport A</t>
  </si>
  <si>
    <t>P272</t>
  </si>
  <si>
    <t>SFPUC Southeastern Plant - SFPUC Southeastern Plant Solar</t>
  </si>
  <si>
    <t>P273</t>
  </si>
  <si>
    <t>North Point DPW Water Pollution Control Facility - North Point - DPW</t>
  </si>
  <si>
    <t>P274</t>
  </si>
  <si>
    <t>Moscone Center - Moscone Esplanade A</t>
  </si>
  <si>
    <t>P275</t>
  </si>
  <si>
    <t>Moscone Center - Moscone Esplanade B</t>
  </si>
  <si>
    <t>P276</t>
  </si>
  <si>
    <t>Moscone Center - Moscone South Lobby</t>
  </si>
  <si>
    <t>P277</t>
  </si>
  <si>
    <t>City Distribution Division - CDD</t>
  </si>
  <si>
    <t>P278</t>
  </si>
  <si>
    <t>Maxine Hall - Maxine Hall</t>
  </si>
  <si>
    <t>P279</t>
  </si>
  <si>
    <t>Chinatown Library - Chinatown Library</t>
  </si>
  <si>
    <t>P280</t>
  </si>
  <si>
    <t>Muni Woods Motor Coach Facility - Muni Woods</t>
  </si>
  <si>
    <t>P281</t>
  </si>
  <si>
    <t>Chinatown Public Health - Chinatown Public Health</t>
  </si>
  <si>
    <t>P282</t>
  </si>
  <si>
    <t>Alvarado Elementary School - Alvarado Solar</t>
  </si>
  <si>
    <t>P283</t>
  </si>
  <si>
    <t>San Francisco Public Utilities Commission - HQ - 525 Golden Gate - Headquarters</t>
  </si>
  <si>
    <t>P284</t>
  </si>
  <si>
    <t>Davies Symphony Hall - Davies Symphony Hall</t>
  </si>
  <si>
    <t>P285</t>
  </si>
  <si>
    <t>North Beach Library Solar - North Beach Library Solar</t>
  </si>
  <si>
    <t>P286</t>
  </si>
  <si>
    <t>700 Pennsylvania Ave. - 700 Pennsylvania Ave.</t>
  </si>
  <si>
    <t>P287</t>
  </si>
  <si>
    <t>Downtown High School-SFUSD - Downtown HS-San Francisco Unified School District</t>
  </si>
  <si>
    <t>P288</t>
  </si>
  <si>
    <t>Thurgood Marshall HS-San Francisco Unified School - Thurgood Marshall High School-SFUSD</t>
  </si>
  <si>
    <t>P289</t>
  </si>
  <si>
    <t>San Francisco City Hall - San Francisco City Hall</t>
  </si>
  <si>
    <t>P290</t>
  </si>
  <si>
    <t>Cesar Chavez Elementary School SFUSD - Cesar Chavez Elementary School SFUSD</t>
  </si>
  <si>
    <t>P291</t>
  </si>
  <si>
    <t>San Francisco Unified School District - Burton High School</t>
  </si>
  <si>
    <t>P292</t>
  </si>
  <si>
    <t>San Francisco Unified School District - Starr King Elementary School</t>
  </si>
  <si>
    <t>P293</t>
  </si>
  <si>
    <t>Valley Pumping Plant</t>
  </si>
  <si>
    <t>P294</t>
  </si>
  <si>
    <t>Burbank #3 Flare</t>
  </si>
  <si>
    <t>P295</t>
  </si>
  <si>
    <t>IKEA Solar</t>
  </si>
  <si>
    <t>P296</t>
  </si>
  <si>
    <t>Burbank 1</t>
  </si>
  <si>
    <t>P297</t>
  </si>
  <si>
    <t>Burbank 2</t>
  </si>
  <si>
    <t>P298</t>
  </si>
  <si>
    <t>Burbank 3</t>
  </si>
  <si>
    <t>P299</t>
  </si>
  <si>
    <t>Burbank 4</t>
  </si>
  <si>
    <t>P300</t>
  </si>
  <si>
    <t>Burbank 5</t>
  </si>
  <si>
    <t>P301</t>
  </si>
  <si>
    <t xml:space="preserve">Dutch Energy </t>
  </si>
  <si>
    <t>P302</t>
  </si>
  <si>
    <t xml:space="preserve">Desert Winds II Pwr Purch Trst </t>
  </si>
  <si>
    <t>P303</t>
  </si>
  <si>
    <t>SunE Solar XVI Lessor, LLC - SunE - Pico Rivera</t>
  </si>
  <si>
    <t>P304</t>
  </si>
  <si>
    <t>Marinos Ventures LLC</t>
  </si>
  <si>
    <t>P305</t>
  </si>
  <si>
    <t>Master Development - Corona, CA (1351 Railroad) - Master Development - Corona, CA (1351 Railroad)</t>
  </si>
  <si>
    <t>P306</t>
  </si>
  <si>
    <t>San Dimas Technology and Development Center - San Dimas Technology and Development Center</t>
  </si>
  <si>
    <t>P307</t>
  </si>
  <si>
    <t>Caliente - II - Caliente - II</t>
  </si>
  <si>
    <t>P308</t>
  </si>
  <si>
    <t>Walnut Valley Water District - Walnut Valley Water District</t>
  </si>
  <si>
    <t>P309</t>
  </si>
  <si>
    <t>Fulton Road - Three Valleys MWD (Fulton Road)</t>
  </si>
  <si>
    <t>P310</t>
  </si>
  <si>
    <t>Williams - Three Valleys MWD (Williams)</t>
  </si>
  <si>
    <t>P311</t>
  </si>
  <si>
    <t>Santa Rosa - Calleguas MWD - Unit 3</t>
  </si>
  <si>
    <t>P312</t>
  </si>
  <si>
    <t>Snow Creek - Desert Water Agency (Snow Creek)</t>
  </si>
  <si>
    <t>P313</t>
  </si>
  <si>
    <t>Goleta Water District - Goleta Water District</t>
  </si>
  <si>
    <t>P314</t>
  </si>
  <si>
    <t>City of Santa Barbara - Gibraltar Conduit Hydroelectric Plant</t>
  </si>
  <si>
    <t>P315</t>
  </si>
  <si>
    <t>White Mountain Ranch LLC - White Mountain Ranch LLC</t>
  </si>
  <si>
    <t>P316</t>
  </si>
  <si>
    <t>Conejo - Calleguas MWD - Unit 1</t>
  </si>
  <si>
    <t>P317</t>
  </si>
  <si>
    <t>Monte Vista Water District - Monte Vista Water District</t>
  </si>
  <si>
    <t>P318</t>
  </si>
  <si>
    <t>California Water Service Company - Palos Verdes Station 37</t>
  </si>
  <si>
    <t>P319</t>
  </si>
  <si>
    <t>Deep Springs College - Deep Springs College</t>
  </si>
  <si>
    <t>P320</t>
  </si>
  <si>
    <t>Camrosa County Water District - Camrosa County Water District</t>
  </si>
  <si>
    <t>P321</t>
  </si>
  <si>
    <t>Unit 3 - Unit 3- San Bernardino MWD</t>
  </si>
  <si>
    <t>P322</t>
  </si>
  <si>
    <t>Bishop Tungsten Development, LLC - Pine Creek Mill</t>
  </si>
  <si>
    <t>P323</t>
  </si>
  <si>
    <t>Hi Head Hydro Incorporated - Hi Head Hydro Incorporated</t>
  </si>
  <si>
    <t>P324</t>
  </si>
  <si>
    <t>Desert Power Company - Desert Power Company</t>
  </si>
  <si>
    <t>P325</t>
  </si>
  <si>
    <t>Palm - San Bernardino MWD</t>
  </si>
  <si>
    <t>P326</t>
  </si>
  <si>
    <t>Northwind - Wind Stream Operations, LLC - Northwind - Wind Stream Operations, LLC</t>
  </si>
  <si>
    <t>P327</t>
  </si>
  <si>
    <t>One Miracle Property, LLC - One Miracle Property, LLC</t>
  </si>
  <si>
    <t>P328</t>
  </si>
  <si>
    <t>Isabella Hydroelectric Project</t>
  </si>
  <si>
    <t>P329</t>
  </si>
  <si>
    <t>P330</t>
  </si>
  <si>
    <t>Cameron Ridge II</t>
  </si>
  <si>
    <t>P331</t>
  </si>
  <si>
    <t>Kirkwood Meadows Public Utility District Powerhouse</t>
  </si>
  <si>
    <t>P332</t>
  </si>
  <si>
    <t>Anaheim Elementary School District - Betsy Ross Elementary School</t>
  </si>
  <si>
    <t>P333</t>
  </si>
  <si>
    <t>Anaheim Elementary School District - Franklin Elementary School</t>
  </si>
  <si>
    <t>P334</t>
  </si>
  <si>
    <t>Centralia School District - Centralia Elementary School</t>
  </si>
  <si>
    <t>P335</t>
  </si>
  <si>
    <t>Centralia School District - Danbrook Elementary School</t>
  </si>
  <si>
    <t>P336</t>
  </si>
  <si>
    <t>Magnolia School District - Dr. Jonas Salk Elementary School</t>
  </si>
  <si>
    <t>P337</t>
  </si>
  <si>
    <t>Magnolia School District - Lord Baden-Powell Elementary School</t>
  </si>
  <si>
    <t>P338</t>
  </si>
  <si>
    <t>Placentia Yorba Linda Unified School District - Esperanza High School</t>
  </si>
  <si>
    <t>P339</t>
  </si>
  <si>
    <t>Savanna Unified School District - Cerritos Elementary School</t>
  </si>
  <si>
    <t>P340</t>
  </si>
  <si>
    <t>Savanna Unified School District - Hansen Elementary School</t>
  </si>
  <si>
    <t>P341</t>
  </si>
  <si>
    <t>Arbuckle Mountain Hydro, LLC.</t>
  </si>
  <si>
    <t>P342</t>
  </si>
  <si>
    <t>Cox Station Micro-Hydroelectric Project</t>
  </si>
  <si>
    <t>P343</t>
  </si>
  <si>
    <t>Southeast Health Center solar</t>
  </si>
  <si>
    <t>P344</t>
  </si>
  <si>
    <t>Alta Wind VII</t>
  </si>
  <si>
    <t>P345</t>
  </si>
  <si>
    <t>Alta Wind IX</t>
  </si>
  <si>
    <t>P346</t>
  </si>
  <si>
    <t>City of Santa Ana</t>
  </si>
  <si>
    <t>P347</t>
  </si>
  <si>
    <t>Lytle Creek</t>
  </si>
  <si>
    <t>P348</t>
  </si>
  <si>
    <t>Mill Creek No. 1</t>
  </si>
  <si>
    <t>P349</t>
  </si>
  <si>
    <t>Ontario No. 1</t>
  </si>
  <si>
    <t>P350</t>
  </si>
  <si>
    <t>Ontario No. 2</t>
  </si>
  <si>
    <t>P351</t>
  </si>
  <si>
    <t>Sierra</t>
  </si>
  <si>
    <t>P352</t>
  </si>
  <si>
    <t>HDSI, LLC - Hudson High Desert Solar</t>
  </si>
  <si>
    <t>P353</t>
  </si>
  <si>
    <t>Garlock Energy, LLC - Garlock Energy, LLC</t>
  </si>
  <si>
    <t>P354</t>
  </si>
  <si>
    <t>IGS Valencia 3, LLC</t>
  </si>
  <si>
    <t>P355</t>
  </si>
  <si>
    <t>Lake Herman Solar</t>
  </si>
  <si>
    <t>P356</t>
  </si>
  <si>
    <t>Duran Mesa, LLC</t>
  </si>
  <si>
    <t>P357</t>
  </si>
  <si>
    <t>RE Slate 1 LLC – Bart Phase</t>
  </si>
  <si>
    <t>P358</t>
  </si>
  <si>
    <t>RE Slate 1 LLC – PWRPA Phase</t>
  </si>
  <si>
    <t>P359</t>
  </si>
  <si>
    <t>RE Slate 1 LLC – Stanford Phase</t>
  </si>
  <si>
    <t>P360</t>
  </si>
  <si>
    <t>RE Slate 1 LLC – CCCE Phase</t>
  </si>
  <si>
    <t>P361</t>
  </si>
  <si>
    <t>RE Slate 1 LLC – SVCE Phase</t>
  </si>
  <si>
    <t>P362</t>
  </si>
  <si>
    <t>Bodega Energy West</t>
  </si>
  <si>
    <t>P363</t>
  </si>
  <si>
    <t>Petaluma Energy East</t>
  </si>
  <si>
    <t>P364</t>
  </si>
  <si>
    <t>P365</t>
  </si>
  <si>
    <t>Point Wind 2</t>
  </si>
  <si>
    <t>P366</t>
  </si>
  <si>
    <t>Cameron Ridge III</t>
  </si>
  <si>
    <t>P367</t>
  </si>
  <si>
    <t>Clines Corners Wind Farm</t>
  </si>
  <si>
    <t>P368</t>
  </si>
  <si>
    <t>Solar City - Gonzales Center (Dominion Solar)</t>
  </si>
  <si>
    <t>P369</t>
  </si>
  <si>
    <t>Solar City - Arbor Terrace (Dominion Solar)</t>
  </si>
  <si>
    <t>P370</t>
  </si>
  <si>
    <t>Pier 96 – Recycling Plant solar</t>
  </si>
  <si>
    <t>P371</t>
  </si>
  <si>
    <t>San Francisco Police Academy Solar Carport</t>
  </si>
  <si>
    <t>P372</t>
  </si>
  <si>
    <t xml:space="preserve">49 South Van Ness </t>
  </si>
  <si>
    <t>P373</t>
  </si>
  <si>
    <t xml:space="preserve">Visitacion Valley Middle School Solar PV </t>
  </si>
  <si>
    <t>P374</t>
  </si>
  <si>
    <t>Powell River Generation (Catalyst Paper) (CAN)</t>
  </si>
  <si>
    <t>P375</t>
  </si>
  <si>
    <t>Opera House solar</t>
  </si>
  <si>
    <t>P376</t>
  </si>
  <si>
    <t>City of Rancho Cucamonga - Fire Station 173</t>
  </si>
  <si>
    <t>P378</t>
  </si>
  <si>
    <t>Alhambra Solar Facility - Alhambra Solar facility</t>
  </si>
  <si>
    <t>P379</t>
  </si>
  <si>
    <t>Arkansas Solar Facility - Arkansas Solar Facility</t>
  </si>
  <si>
    <t>P380</t>
  </si>
  <si>
    <t>Oakley RV &amp; Boat Storage Phase 3 - Oakley RV &amp; Boat Storage Phase 3</t>
  </si>
  <si>
    <t>P381</t>
  </si>
  <si>
    <t>Gansner Hydroelectric Project</t>
  </si>
  <si>
    <t>P382</t>
  </si>
  <si>
    <t>Chetwynd Biomass (CAN)</t>
  </si>
  <si>
    <t>P387</t>
  </si>
  <si>
    <t>Fraser Lake Biomass (CAN)</t>
  </si>
  <si>
    <t>P388</t>
  </si>
  <si>
    <t>Sukunka Wind</t>
  </si>
  <si>
    <t>P389</t>
  </si>
  <si>
    <t>Zonnebeke Wind</t>
  </si>
  <si>
    <t>P390</t>
  </si>
  <si>
    <t>St Anthony Hydro, LLC</t>
  </si>
  <si>
    <t>P391</t>
  </si>
  <si>
    <t>Byron Hot Springs Solar</t>
  </si>
  <si>
    <t>P392</t>
  </si>
  <si>
    <t>Willow Springs Solar 3</t>
  </si>
  <si>
    <t>P393</t>
  </si>
  <si>
    <t>NAPA Self Storage 2</t>
  </si>
  <si>
    <t>P394</t>
  </si>
  <si>
    <t>Zephyr Park c/o Oak Creek Wind Power, LLC</t>
  </si>
  <si>
    <t>P397</t>
  </si>
  <si>
    <t>SPVP 032</t>
  </si>
  <si>
    <t>P398</t>
  </si>
  <si>
    <t>SPVP 033</t>
  </si>
  <si>
    <t>P399</t>
  </si>
  <si>
    <t>SPVP005 RDC 1</t>
  </si>
  <si>
    <t>P400</t>
  </si>
  <si>
    <t>SPVP007 RDC 3</t>
  </si>
  <si>
    <t>P401</t>
  </si>
  <si>
    <t>SPVP 027</t>
  </si>
  <si>
    <t>P402</t>
  </si>
  <si>
    <t>P403</t>
  </si>
  <si>
    <t>SPVP 044</t>
  </si>
  <si>
    <t>P404</t>
  </si>
  <si>
    <t>SPVP 048</t>
  </si>
  <si>
    <t>P405</t>
  </si>
  <si>
    <t>SPVP 026</t>
  </si>
  <si>
    <t>P406</t>
  </si>
  <si>
    <t>SPVP 028</t>
  </si>
  <si>
    <t>P407</t>
  </si>
  <si>
    <t>Marina Middle School Solar</t>
  </si>
  <si>
    <t>P408</t>
  </si>
  <si>
    <t>Alameda Creek Watershed Center Solar</t>
  </si>
  <si>
    <t>P409</t>
  </si>
  <si>
    <t>Furry Creek Hydro (CAN)</t>
  </si>
  <si>
    <t>P410</t>
  </si>
  <si>
    <t>Rexford 1 Solar Farm Project</t>
  </si>
  <si>
    <t>P411</t>
  </si>
  <si>
    <t>Arrow Rancho LLC</t>
  </si>
  <si>
    <t>P412</t>
  </si>
  <si>
    <t>Fallon Two Rock Rd Solar Farm</t>
  </si>
  <si>
    <t>P413</t>
  </si>
  <si>
    <t>Cedar Springs IV [Wind]</t>
  </si>
  <si>
    <t>P414</t>
  </si>
  <si>
    <t>McNair Creek Hydro (CAN)</t>
  </si>
  <si>
    <t>P415</t>
  </si>
  <si>
    <t>ATTESTATION FORM</t>
  </si>
  <si>
    <t>Signature: __________________________________________________________</t>
  </si>
  <si>
    <t>Firmed and Shaped Grandfathering</t>
  </si>
  <si>
    <t>Fuel Types</t>
  </si>
  <si>
    <t>Location</t>
  </si>
  <si>
    <t>Default Loss Factors</t>
  </si>
  <si>
    <t>Annual Unspecified Power EF</t>
  </si>
  <si>
    <t>Yes</t>
  </si>
  <si>
    <t>CA</t>
  </si>
  <si>
    <t>Non-CA</t>
  </si>
  <si>
    <t>Petroleum</t>
  </si>
  <si>
    <t>P416</t>
  </si>
  <si>
    <t>Azalea</t>
  </si>
  <si>
    <t>Intermountain Generating Station Unit 3</t>
  </si>
  <si>
    <t>Intermountain Generating Station Unit 4</t>
  </si>
  <si>
    <t>P417</t>
  </si>
  <si>
    <t>P418</t>
  </si>
  <si>
    <t>Marin Clean Energy ("MCE")</t>
  </si>
  <si>
    <t>Kirby Dusel</t>
  </si>
  <si>
    <t>Consultant</t>
  </si>
  <si>
    <t>300 University Avenue, Suite 220</t>
  </si>
  <si>
    <t>Sacramento, CA 95825</t>
  </si>
  <si>
    <t>1 (916) 318-5559</t>
  </si>
  <si>
    <t>kirby@pacificea.com</t>
  </si>
  <si>
    <t xml:space="preserve">https://www.mcecleanenergy.org/ </t>
  </si>
  <si>
    <t>Deep Green</t>
  </si>
  <si>
    <t>LocalSol</t>
  </si>
  <si>
    <t>LightGreen</t>
  </si>
  <si>
    <t>GreenAccess</t>
  </si>
  <si>
    <t>Representing (Retail Supplier): Marin Clean Energy ("MCE")</t>
  </si>
  <si>
    <t>Executed at: San Rafael, CA</t>
  </si>
  <si>
    <t>A. G. Wishon Powerhouse - A. G. Wishon Powerhouse</t>
  </si>
  <si>
    <t>W344</t>
  </si>
  <si>
    <t>60032A</t>
  </si>
  <si>
    <t>Agua Caliente Solar - Block 1</t>
  </si>
  <si>
    <t>AZ</t>
  </si>
  <si>
    <t>W2427</t>
  </si>
  <si>
    <t>60894A</t>
  </si>
  <si>
    <t>Agua Caliente Solar - Block 2</t>
  </si>
  <si>
    <t>W2576</t>
  </si>
  <si>
    <t>Alta Powerhouse - Alta Powerhouse</t>
  </si>
  <si>
    <t>W335</t>
  </si>
  <si>
    <t>60033A</t>
  </si>
  <si>
    <t>American Canyon Solar A - AC Solar A</t>
  </si>
  <si>
    <t>W8041</t>
  </si>
  <si>
    <t>63630A</t>
  </si>
  <si>
    <t>American Canyon Solar B - AC Solar B</t>
  </si>
  <si>
    <t>W8043</t>
  </si>
  <si>
    <t>63631A</t>
  </si>
  <si>
    <t>American Canyon Solar C - AC Solar C</t>
  </si>
  <si>
    <t>W8045</t>
  </si>
  <si>
    <t>63632A</t>
  </si>
  <si>
    <t>Antelope Expansion 2 - Antelope Expansion 2</t>
  </si>
  <si>
    <t>W7133</t>
  </si>
  <si>
    <t>63854A</t>
  </si>
  <si>
    <t>Arica Solar, LLC - PCE/MCE</t>
  </si>
  <si>
    <t>W16484</t>
  </si>
  <si>
    <t>64922A</t>
  </si>
  <si>
    <t>Avenal Park - Avenal Park LLC</t>
  </si>
  <si>
    <t>W2074</t>
  </si>
  <si>
    <t>60912A</t>
  </si>
  <si>
    <t>Big Creek Hydro Project - Big Creek Water Works</t>
  </si>
  <si>
    <t>W1586</t>
  </si>
  <si>
    <t>60900A</t>
  </si>
  <si>
    <t>W14596</t>
  </si>
  <si>
    <t>64536A</t>
  </si>
  <si>
    <t>W16196</t>
  </si>
  <si>
    <t>64334A</t>
  </si>
  <si>
    <t>CalRENEW-1 - CalRENEW-1</t>
  </si>
  <si>
    <t>W1519</t>
  </si>
  <si>
    <t>60475A</t>
  </si>
  <si>
    <t>Camanche - Camanche 1,2,&amp;3</t>
  </si>
  <si>
    <t>W243</t>
  </si>
  <si>
    <t>60535A</t>
  </si>
  <si>
    <t>W7457</t>
  </si>
  <si>
    <t>64130A</t>
  </si>
  <si>
    <t>City of Corcoran Solar - City of Corcoran Solar</t>
  </si>
  <si>
    <t>W4150</t>
  </si>
  <si>
    <t>62355A</t>
  </si>
  <si>
    <t>Clearwater Paper Corporation - #3 turbine generator</t>
  </si>
  <si>
    <t>ID</t>
  </si>
  <si>
    <t>W128</t>
  </si>
  <si>
    <t>60533A</t>
  </si>
  <si>
    <t>Clearwater Paper Corporation - #4 turbine generator</t>
  </si>
  <si>
    <t>W129</t>
  </si>
  <si>
    <t>Clines Corners - Clines Corners Wind Farm LLC</t>
  </si>
  <si>
    <t>NM</t>
  </si>
  <si>
    <t>W12057</t>
  </si>
  <si>
    <t>64716A</t>
  </si>
  <si>
    <t>Clines Corners B - Clines Corners Wind Farm LLC</t>
  </si>
  <si>
    <t>W12058</t>
  </si>
  <si>
    <t>CM10 - CM10</t>
  </si>
  <si>
    <t>NV</t>
  </si>
  <si>
    <t>W883</t>
  </si>
  <si>
    <t>60713A</t>
  </si>
  <si>
    <t>CM48 - CM48</t>
  </si>
  <si>
    <t>W1460</t>
  </si>
  <si>
    <t>60786A</t>
  </si>
  <si>
    <t>CMSA Expanded Biogas Generator - CMSA Expanded Biogas Generator</t>
  </si>
  <si>
    <t>W14032</t>
  </si>
  <si>
    <t>Coleman Powerhouse - Coleman Powerhouse</t>
  </si>
  <si>
    <t>W347</t>
  </si>
  <si>
    <t>60037A</t>
  </si>
  <si>
    <t>Cost Plus Plaza - Cost Plus Plaza</t>
  </si>
  <si>
    <t>W5192</t>
  </si>
  <si>
    <t>62742A</t>
  </si>
  <si>
    <t>Daggett Solar Power 3, LLC- Marin Clean Energy</t>
  </si>
  <si>
    <t>W15064</t>
  </si>
  <si>
    <t>63975A</t>
  </si>
  <si>
    <t>De Sabla Powerhouse - De Sabla Powerhouse</t>
  </si>
  <si>
    <t>W351</t>
  </si>
  <si>
    <t>60041A</t>
  </si>
  <si>
    <t>Desert Harvest - Desert Harvest</t>
  </si>
  <si>
    <t>W10625</t>
  </si>
  <si>
    <t>62858A</t>
  </si>
  <si>
    <t>Diablo Winds, LLC - Diablo Winds, LLC</t>
  </si>
  <si>
    <t>W762</t>
  </si>
  <si>
    <t>60030A</t>
  </si>
  <si>
    <t>DRES Quarry 1 - DRES Quarry 1</t>
  </si>
  <si>
    <t>W5654</t>
  </si>
  <si>
    <t>62709A</t>
  </si>
  <si>
    <t>W7478</t>
  </si>
  <si>
    <t>63764A</t>
  </si>
  <si>
    <t>Duran Mesa LLC - Duran Mesa LLC</t>
  </si>
  <si>
    <t>W12070</t>
  </si>
  <si>
    <t>64728A</t>
  </si>
  <si>
    <t>Dutch Flat #2 Powerhouse - Dutch Flat #2 Powerhouse</t>
  </si>
  <si>
    <t>W488</t>
  </si>
  <si>
    <t>60264A</t>
  </si>
  <si>
    <t>Dutch Flat No. 1 Powerhouse - Dutch Flat No. 1 Powerhouse</t>
  </si>
  <si>
    <t>W352</t>
  </si>
  <si>
    <t>60042A</t>
  </si>
  <si>
    <t>Fallon Two Rock</t>
  </si>
  <si>
    <t>W18059</t>
  </si>
  <si>
    <t>64591A</t>
  </si>
  <si>
    <t>Five Points Solar Station - Five Points Solar Station</t>
  </si>
  <si>
    <t>W2201</t>
  </si>
  <si>
    <t>61432A</t>
  </si>
  <si>
    <t>FPL Energy Montezuma Wind - FPL Energy Montezuma Wind</t>
  </si>
  <si>
    <t>W1745</t>
  </si>
  <si>
    <t>60543A</t>
  </si>
  <si>
    <t>Freethy Industrial Park - Freethy Industrial Park Unit #1</t>
  </si>
  <si>
    <t>W5190</t>
  </si>
  <si>
    <t>63035A</t>
  </si>
  <si>
    <t>Freethy Industrial Park - Freethy Industrial Park Unit #2</t>
  </si>
  <si>
    <t>W5191</t>
  </si>
  <si>
    <t>63036A</t>
  </si>
  <si>
    <t>G2 Energy Hay Road - G2 Hay Road</t>
  </si>
  <si>
    <t>W3547</t>
  </si>
  <si>
    <t>61205A</t>
  </si>
  <si>
    <t>G2 Energy Ostrom Rd - G2 Energy Ostrom RD</t>
  </si>
  <si>
    <t>W1565</t>
  </si>
  <si>
    <t>61206A</t>
  </si>
  <si>
    <t>G2 Energy Ostrom Rd - G2 Energy Ostrom Rd. Unit 2</t>
  </si>
  <si>
    <t>W3932</t>
  </si>
  <si>
    <t>GENESIS SOLAR, LLC - SGN-1</t>
  </si>
  <si>
    <t>W3790</t>
  </si>
  <si>
    <t>60605A</t>
  </si>
  <si>
    <t>Geysers Power Plant - Calpine Geothermal Unit 11</t>
  </si>
  <si>
    <t>W119</t>
  </si>
  <si>
    <t>60025A</t>
  </si>
  <si>
    <t>Geysers Power Plant - Calpine Geothermal Unit 12</t>
  </si>
  <si>
    <t>W120</t>
  </si>
  <si>
    <t>60004A</t>
  </si>
  <si>
    <t>Geysers Power Plant - Calpine Geothermal Unit 13</t>
  </si>
  <si>
    <t>W121</t>
  </si>
  <si>
    <t>60005A</t>
  </si>
  <si>
    <t>Geysers Power Plant - Calpine Geothermal Unit 14</t>
  </si>
  <si>
    <t>W122</t>
  </si>
  <si>
    <t>60026A</t>
  </si>
  <si>
    <t>Glacier Wind 1 - Glacier Wind 1</t>
  </si>
  <si>
    <t>MT</t>
  </si>
  <si>
    <t>W818</t>
  </si>
  <si>
    <t>60708A</t>
  </si>
  <si>
    <t>Glacier Wind 2 - Glacier Wind 2</t>
  </si>
  <si>
    <t>W1318</t>
  </si>
  <si>
    <t>60709A</t>
  </si>
  <si>
    <t>Goose Lake Solar - Goose Lake Solar</t>
  </si>
  <si>
    <t>W4151</t>
  </si>
  <si>
    <t>62357A</t>
  </si>
  <si>
    <t>Great Valley Solar 1 - RE Tranquillity 8 Rojo</t>
  </si>
  <si>
    <t>W5713</t>
  </si>
  <si>
    <t>63282A</t>
  </si>
  <si>
    <t>Halsey Powerhouse - Halsey Powerhouse</t>
  </si>
  <si>
    <t>W353</t>
  </si>
  <si>
    <t>60043A</t>
  </si>
  <si>
    <t>Hat Creek No. 1 Powerhouse - Hat Creek No. 1 Powerhouse</t>
  </si>
  <si>
    <t>W355</t>
  </si>
  <si>
    <t>60045A</t>
  </si>
  <si>
    <t>Hat Creek No. 2 Powerhouse - Hat Creek No. 2 Powerhouse</t>
  </si>
  <si>
    <t>W356</t>
  </si>
  <si>
    <t>60046A</t>
  </si>
  <si>
    <t>Hatchet Ridge - Hatchet Ridge</t>
  </si>
  <si>
    <t>W1600</t>
  </si>
  <si>
    <t>60741A</t>
  </si>
  <si>
    <t>Huron Solar Station - Huron Solar Station</t>
  </si>
  <si>
    <t>W2579</t>
  </si>
  <si>
    <t>61821A</t>
  </si>
  <si>
    <t>Ivanpah - Unit 3</t>
  </si>
  <si>
    <t>W3190</t>
  </si>
  <si>
    <t>62275A</t>
  </si>
  <si>
    <t>Kern Canyon Powerhouse - Kern Canyon Powerhouse</t>
  </si>
  <si>
    <t>W358</t>
  </si>
  <si>
    <t>60048A</t>
  </si>
  <si>
    <t>Kittitas Valley Wind Farm - Sagebrush Power Partners, LLC</t>
  </si>
  <si>
    <t>WA</t>
  </si>
  <si>
    <t>W1876</t>
  </si>
  <si>
    <t>60939A</t>
  </si>
  <si>
    <t>Lake Herman Solar - Lake Herman Solar</t>
  </si>
  <si>
    <t>W12021</t>
  </si>
  <si>
    <t>64116A</t>
  </si>
  <si>
    <t>Lincoln Landfill Power Plant - Unit 3</t>
  </si>
  <si>
    <t>W2319</t>
  </si>
  <si>
    <t>61632A</t>
  </si>
  <si>
    <t>Lincoln Landfill Power Plant - Units 1 &amp; 2</t>
  </si>
  <si>
    <t>W2318</t>
  </si>
  <si>
    <t>Lincoln Landfill Power Plant - Units 4, 5, &amp; 6</t>
  </si>
  <si>
    <t>W3188</t>
  </si>
  <si>
    <t>Little Bear Solar 1 - Little Bear Solar 1</t>
  </si>
  <si>
    <t>W10889</t>
  </si>
  <si>
    <t>63118A</t>
  </si>
  <si>
    <t>Little Bear Solar 3 - Little Bear Solar 3</t>
  </si>
  <si>
    <t>W10891</t>
  </si>
  <si>
    <t>64032A</t>
  </si>
  <si>
    <t>Little Bear Solar 4 - Little Bear Solar 4</t>
  </si>
  <si>
    <t>W10892</t>
  </si>
  <si>
    <t>64033A</t>
  </si>
  <si>
    <t>Little Bear Solar 5 - Little Bear Solar 5</t>
  </si>
  <si>
    <t>W10893</t>
  </si>
  <si>
    <t>64034A</t>
  </si>
  <si>
    <t>Marin Carport - Buck Institute - Marin Carport - Buck Institute</t>
  </si>
  <si>
    <t>W4903</t>
  </si>
  <si>
    <t>63219A</t>
  </si>
  <si>
    <t>MCE Solar One 2.0 - Richmond Chevron 2</t>
  </si>
  <si>
    <t>W5783</t>
  </si>
  <si>
    <t>63280A</t>
  </si>
  <si>
    <t>MCE Solar One 8.5 - Richmond Chevron 8.5</t>
  </si>
  <si>
    <t>W5782</t>
  </si>
  <si>
    <t>63279A</t>
  </si>
  <si>
    <t>Mesquite Solar 1 (1-3) - Mesquite Solar 1 (1-3)</t>
  </si>
  <si>
    <t>W2399</t>
  </si>
  <si>
    <t>60875A</t>
  </si>
  <si>
    <t>Montezuma Wind II - Nextera Energy Montezuma II Wind</t>
  </si>
  <si>
    <t>W2400</t>
  </si>
  <si>
    <t>61345A</t>
  </si>
  <si>
    <t>Napa Self Storage 2</t>
  </si>
  <si>
    <t>W15832</t>
  </si>
  <si>
    <t>64601C</t>
  </si>
  <si>
    <t>Nevada Irrigation District - Bowman Hydro Project</t>
  </si>
  <si>
    <t>W635</t>
  </si>
  <si>
    <t>60171A</t>
  </si>
  <si>
    <t>Newcastle Powerhouse - Newcastle Powerhouse</t>
  </si>
  <si>
    <t>W364</t>
  </si>
  <si>
    <t>60053A</t>
  </si>
  <si>
    <t>North Sky River - North Sky River - Phase I</t>
  </si>
  <si>
    <t>W3206</t>
  </si>
  <si>
    <t>61385A</t>
  </si>
  <si>
    <t>Oakley Boat RV Storage Phase 2 - Hayworth-Fabian, LLC</t>
  </si>
  <si>
    <t>W7095</t>
  </si>
  <si>
    <t>63561A</t>
  </si>
  <si>
    <t>W13855</t>
  </si>
  <si>
    <t>64523A</t>
  </si>
  <si>
    <t>Pardee - Pardee 1</t>
  </si>
  <si>
    <t>W233</t>
  </si>
  <si>
    <t>60536A</t>
  </si>
  <si>
    <t>Pardee - Pardee 2</t>
  </si>
  <si>
    <t>W241</t>
  </si>
  <si>
    <t>Pardee - Pardee 3</t>
  </si>
  <si>
    <t>W242</t>
  </si>
  <si>
    <t>RE Mustang 4 - Mustang 4</t>
  </si>
  <si>
    <t>W4816</t>
  </si>
  <si>
    <t>62863A</t>
  </si>
  <si>
    <t>Redwood Renewable Energy Facility - Waste Management Landfill Redwood LGGTE</t>
  </si>
  <si>
    <t>W5551</t>
  </si>
  <si>
    <t>63651A</t>
  </si>
  <si>
    <t>Resurgence Solar I, LLC</t>
  </si>
  <si>
    <t>W16178</t>
  </si>
  <si>
    <t>65013A</t>
  </si>
  <si>
    <t>Rising Tree Wind Farm II LLC - Rising Tree Wind Farm II LLC</t>
  </si>
  <si>
    <t>W4445</t>
  </si>
  <si>
    <t>62426A</t>
  </si>
  <si>
    <t>Rollins Powerhouse - Rollins Powerhouse</t>
  </si>
  <si>
    <t>W699</t>
  </si>
  <si>
    <t>60265A</t>
  </si>
  <si>
    <t>Rosie South - MCE</t>
  </si>
  <si>
    <t>W23955</t>
  </si>
  <si>
    <t>65369A</t>
  </si>
  <si>
    <t>Rosie South - Regents</t>
  </si>
  <si>
    <t>W23956</t>
  </si>
  <si>
    <t>San Gorgonio Windplant WPP1993 - Aldrich</t>
  </si>
  <si>
    <t>W2647</t>
  </si>
  <si>
    <t>60377A</t>
  </si>
  <si>
    <t>San Gorgonio Windplant WPP1993 - Carter</t>
  </si>
  <si>
    <t>W2649</t>
  </si>
  <si>
    <t>60412A</t>
  </si>
  <si>
    <t>San Gorgonio Windplant WPP1993 - Renwind</t>
  </si>
  <si>
    <t>W2635</t>
  </si>
  <si>
    <t>60424A</t>
  </si>
  <si>
    <t>San Gorgonio Windplant WPP1993 - Triad</t>
  </si>
  <si>
    <t>W2648</t>
  </si>
  <si>
    <t>60428A</t>
  </si>
  <si>
    <t>San Joaquin No. 1-A Powerhouse - San Joaquin No. 1-A Powerhouse</t>
  </si>
  <si>
    <t>W345</t>
  </si>
  <si>
    <t>60056A</t>
  </si>
  <si>
    <t>San Rafael Airport - San Rafael Airport</t>
  </si>
  <si>
    <t>W2969</t>
  </si>
  <si>
    <t>62237A</t>
  </si>
  <si>
    <t>San Rafael Airport II - San Rafael Airport II</t>
  </si>
  <si>
    <t>W10846</t>
  </si>
  <si>
    <t>63656A</t>
  </si>
  <si>
    <t>Sand Drag - Sand Drag LLC</t>
  </si>
  <si>
    <t>W2072</t>
  </si>
  <si>
    <t>60914A</t>
  </si>
  <si>
    <t>Seneca Sustainable Energy - Seneca Sustainable Energy</t>
  </si>
  <si>
    <t>OR</t>
  </si>
  <si>
    <t>W2045</t>
  </si>
  <si>
    <t>61090A</t>
  </si>
  <si>
    <t>Shiloh III Wind Project, LLC - Shiloh III Wind Project, LLC</t>
  </si>
  <si>
    <t>W2142</t>
  </si>
  <si>
    <t>61069A</t>
  </si>
  <si>
    <t>Shiloh Wind Project 2, LLC - Shiloh Wind Project 2, LLC</t>
  </si>
  <si>
    <t>W811</t>
  </si>
  <si>
    <t>60639A</t>
  </si>
  <si>
    <t>Sierra Pacific Burney Facility - Sierra Pacific Industry (Burney)</t>
  </si>
  <si>
    <t>W667</t>
  </si>
  <si>
    <t>60087A</t>
  </si>
  <si>
    <t>Sierra Pacific Ind. (Lincoln) - Sierra Pacific Industry (Lincoln)</t>
  </si>
  <si>
    <t>W668</t>
  </si>
  <si>
    <t>60088A</t>
  </si>
  <si>
    <t>Sierra Pacific Ind. (Quincy) - Sierra Pacific Industry (Quincy)</t>
  </si>
  <si>
    <t>W669</t>
  </si>
  <si>
    <t>60089A</t>
  </si>
  <si>
    <t>Sierra Pacific Sonora - Sierra Pacific Sonora</t>
  </si>
  <si>
    <t>W852</t>
  </si>
  <si>
    <t>60576A</t>
  </si>
  <si>
    <t>Silveira Ranch Solar A - Silveira Ranch Solar A</t>
  </si>
  <si>
    <t>W11420</t>
  </si>
  <si>
    <t>63750A</t>
  </si>
  <si>
    <t>Silveira Ranch Solar B - Silveira Ranch Solar B</t>
  </si>
  <si>
    <t>W11421</t>
  </si>
  <si>
    <t>63752A</t>
  </si>
  <si>
    <t>Silveira Ranch Solar C - Silveira Ranch Solar C</t>
  </si>
  <si>
    <t>W11423</t>
  </si>
  <si>
    <t>63751A</t>
  </si>
  <si>
    <t>Small World Trading Co - SWTC - Phase 2</t>
  </si>
  <si>
    <t>W7230</t>
  </si>
  <si>
    <t>63635A</t>
  </si>
  <si>
    <t>Soscol Ferry Solar C - Soscol Ferry Solar C</t>
  </si>
  <si>
    <t>W10987</t>
  </si>
  <si>
    <t>64201A</t>
  </si>
  <si>
    <t>Soscol Ferry Solar D - Soscol Ferry Solar D</t>
  </si>
  <si>
    <t>W10988</t>
  </si>
  <si>
    <t>64202A</t>
  </si>
  <si>
    <t>South Powerhouse - South Powerhouse</t>
  </si>
  <si>
    <t>W370</t>
  </si>
  <si>
    <t>60059A</t>
  </si>
  <si>
    <t>Spaulding No. 1 Powerhouse - Spaulding No. 1 Powerhouse</t>
  </si>
  <si>
    <t>W371</t>
  </si>
  <si>
    <t>60060A</t>
  </si>
  <si>
    <t>Spaulding No. 2 Powerhouse - Spaulding No. 2 Powerhouse</t>
  </si>
  <si>
    <t>W372</t>
  </si>
  <si>
    <t>60061A</t>
  </si>
  <si>
    <t>Spaulding No. 3 Powerhouse - Spaulding No. 3 Powerhouse</t>
  </si>
  <si>
    <t>W373</t>
  </si>
  <si>
    <t>60062A</t>
  </si>
  <si>
    <t>Spring Gap Powerhouse - Spring Gap Powerhouse</t>
  </si>
  <si>
    <t>W374</t>
  </si>
  <si>
    <t>60063A</t>
  </si>
  <si>
    <t>W15450</t>
  </si>
  <si>
    <t>63558A</t>
  </si>
  <si>
    <t>Stroud Solar Station - Stroud Solar Station</t>
  </si>
  <si>
    <t>W2203</t>
  </si>
  <si>
    <t>61434A</t>
  </si>
  <si>
    <t>Sun City Project LLC - Sun City</t>
  </si>
  <si>
    <t>W2073</t>
  </si>
  <si>
    <t>60913A</t>
  </si>
  <si>
    <t>Sunray 2- SEGS II - Sunray 2- SEGS II</t>
  </si>
  <si>
    <t>W466</t>
  </si>
  <si>
    <t>62694A</t>
  </si>
  <si>
    <t>Tecolote Wind - Tecolote Wind LLC</t>
  </si>
  <si>
    <t>W12059</t>
  </si>
  <si>
    <t>64729A</t>
  </si>
  <si>
    <t>Three Forks Water Power Project - Three Forks Water Power Project</t>
  </si>
  <si>
    <t>W758</t>
  </si>
  <si>
    <t>60502A</t>
  </si>
  <si>
    <t>Toadtown Powerhouse - Toadtown Powerhouse</t>
  </si>
  <si>
    <t>W375</t>
  </si>
  <si>
    <t>60064A</t>
  </si>
  <si>
    <t>Topaz Solar Farms LLC - Topaz 10-16</t>
  </si>
  <si>
    <t>W3226</t>
  </si>
  <si>
    <t>61698A</t>
  </si>
  <si>
    <t>Topaz Solar Farms LLC - Topaz 1-9</t>
  </si>
  <si>
    <t>W3193</t>
  </si>
  <si>
    <t>Topaz Solar Farms LLC - Topaz 21 - 22</t>
  </si>
  <si>
    <t>W3229</t>
  </si>
  <si>
    <t>Townsite Project - Townsite Project</t>
  </si>
  <si>
    <t>W12063</t>
  </si>
  <si>
    <t>64813A</t>
  </si>
  <si>
    <t>Vaca Dixon Solar Station - Vaca Dixon Solar Station</t>
  </si>
  <si>
    <t>W1455</t>
  </si>
  <si>
    <t>60966A</t>
  </si>
  <si>
    <t>Vasco Winds - Vasco Winds</t>
  </si>
  <si>
    <t>W2401</t>
  </si>
  <si>
    <t>61344A</t>
  </si>
  <si>
    <t>Volta No. 1 Powerhouse - Volta No. 1 Powerhouse</t>
  </si>
  <si>
    <t>W377</t>
  </si>
  <si>
    <t>60066A</t>
  </si>
  <si>
    <t>Volta No. 2 Powerhouse - Volta No. 2 Powerhouse</t>
  </si>
  <si>
    <t>W378</t>
  </si>
  <si>
    <t>60067A</t>
  </si>
  <si>
    <t>Voyager Wind 3 - Voyager Wind 3</t>
  </si>
  <si>
    <t>W7268</t>
  </si>
  <si>
    <t>63685A</t>
  </si>
  <si>
    <t>Westlands Solar Blue (OZ) Owner, LLC</t>
  </si>
  <si>
    <t>W17657</t>
  </si>
  <si>
    <t>65111A</t>
  </si>
  <si>
    <t>Westside Solar Station - Westside Solar Station</t>
  </si>
  <si>
    <t>W2202</t>
  </si>
  <si>
    <t>61433A</t>
  </si>
  <si>
    <t>Willy 9 Chap 2 - Chaparral Solar, LLC</t>
  </si>
  <si>
    <t>W14100</t>
  </si>
  <si>
    <t>63225A</t>
  </si>
  <si>
    <t>Wise No. 1 Powerhouse - Wise No. 1 Powerhouse</t>
  </si>
  <si>
    <t>W380</t>
  </si>
  <si>
    <t>60069A</t>
  </si>
  <si>
    <t>Folsom Powerplant - Folsom Unit 1</t>
  </si>
  <si>
    <t>Folsom Powerplant - Folsom Unit 2</t>
  </si>
  <si>
    <t>Folsom Powerplant - Folsom Unit 3</t>
  </si>
  <si>
    <t>Gianelli Powerplant - Gianelli (2)</t>
  </si>
  <si>
    <t>Gianelli Powerplant - Gianelli (6)</t>
  </si>
  <si>
    <t>J.F. Carr Powerplant - J.F. Carr Unit 1</t>
  </si>
  <si>
    <t>J.F. Carr Powerplant - J.F. Carr Unit 2</t>
  </si>
  <si>
    <t>Keswick Powerplant - Keswick Powerplant (3)</t>
  </si>
  <si>
    <t>Lewiston Powerplant - Lewiston</t>
  </si>
  <si>
    <t>New Melones Powerplant - New Melones Unit 1</t>
  </si>
  <si>
    <t>New Melones Powerplant - New Melones Unit 2</t>
  </si>
  <si>
    <t>Nimbus Powerplant - Nimbus Plant (2)</t>
  </si>
  <si>
    <t>O'Neill Powerplant - O'Neil (alt 3)</t>
  </si>
  <si>
    <t>O'Neill Powerplant - O'Neill (3)</t>
  </si>
  <si>
    <t>Shasta Powerplant - Shasta Unit 1</t>
  </si>
  <si>
    <t>Shasta Powerplant - Shasta Unit 2</t>
  </si>
  <si>
    <t>Shasta Powerplant - Shasta Unit 3</t>
  </si>
  <si>
    <t>Shasta Powerplant - Shasta Unit 4</t>
  </si>
  <si>
    <t>Shasta Powerplant - Shasta Unit 5</t>
  </si>
  <si>
    <t>Spring Creek Powerplant - Spring Creek Unit 2</t>
  </si>
  <si>
    <t>Stampede Powerplant - Stampede (2)</t>
  </si>
  <si>
    <t>Trinity Powerplant - Trinity Unit 1</t>
  </si>
  <si>
    <t>Trinity Powerplant - Trinity Unit 2</t>
  </si>
  <si>
    <t>W1156</t>
  </si>
  <si>
    <t>W1157</t>
  </si>
  <si>
    <t>W1158</t>
  </si>
  <si>
    <t>W1288</t>
  </si>
  <si>
    <t>W1162</t>
  </si>
  <si>
    <t>W1163</t>
  </si>
  <si>
    <t>W1164</t>
  </si>
  <si>
    <t>W1165</t>
  </si>
  <si>
    <t>W1108</t>
  </si>
  <si>
    <t>61044A</t>
  </si>
  <si>
    <t>W1159</t>
  </si>
  <si>
    <t>W1160</t>
  </si>
  <si>
    <t>W1161</t>
  </si>
  <si>
    <t>61045A</t>
  </si>
  <si>
    <t>W1186</t>
  </si>
  <si>
    <t>W1167</t>
  </si>
  <si>
    <t>W1168</t>
  </si>
  <si>
    <t>W1169</t>
  </si>
  <si>
    <t>W1170</t>
  </si>
  <si>
    <t>W1171</t>
  </si>
  <si>
    <t>W1172</t>
  </si>
  <si>
    <t>W1174</t>
  </si>
  <si>
    <t>W1177</t>
  </si>
  <si>
    <t>61046A</t>
  </si>
  <si>
    <t>W1175</t>
  </si>
  <si>
    <t>W1176</t>
  </si>
  <si>
    <t>Chelan County PUD</t>
  </si>
  <si>
    <t>Furry Creek</t>
  </si>
  <si>
    <t>McNair Creek Hydro</t>
  </si>
  <si>
    <t>Powell River</t>
  </si>
  <si>
    <t>SmithCreek</t>
  </si>
  <si>
    <t>Large hydroelectric</t>
  </si>
  <si>
    <t>BC</t>
  </si>
  <si>
    <t>GCPD - Priest Rapids &amp; Wanapum</t>
  </si>
  <si>
    <t>Diablo Canyon Power Plant Unit 1</t>
  </si>
  <si>
    <t>Diablo Canyon Power Plant Unit 2</t>
  </si>
  <si>
    <t>Balch PH #1</t>
  </si>
  <si>
    <t>Balch PH #2</t>
  </si>
  <si>
    <t>Drum #1</t>
  </si>
  <si>
    <t>Drum #2</t>
  </si>
  <si>
    <t>Kerckhoff #2 PH</t>
  </si>
  <si>
    <t>Kings River</t>
  </si>
  <si>
    <t>NID-Chicago Park</t>
  </si>
  <si>
    <t>BPA ACS Porfolio - Large Hydro</t>
  </si>
  <si>
    <t>BPA ACS Porfolio - Nuclear</t>
  </si>
  <si>
    <t>BPA ACS Porfolio - Unspecified</t>
  </si>
  <si>
    <t>BPA ACS Porfolio - Other</t>
  </si>
  <si>
    <t>Tacoma ACS Porfolio - Large Hydro</t>
  </si>
  <si>
    <t>Tacoma ACS Porfolio - Nuclear</t>
  </si>
  <si>
    <t>Tacoma ACS Porfolio - Unspecified</t>
  </si>
  <si>
    <t>Colgate Powerhosue Unit 1</t>
  </si>
  <si>
    <t>Colgate Powerhosue Unit 2</t>
  </si>
  <si>
    <t>Narrows 2</t>
  </si>
  <si>
    <t>Dynasty Import RA Energy Volume - Unspecified</t>
  </si>
  <si>
    <t>Southwest</t>
  </si>
  <si>
    <t>G.M. Shrum Hydroelectric Generation Facility</t>
  </si>
  <si>
    <t>Mica Hydroelectric Generation Facility</t>
  </si>
  <si>
    <t>Mid-C Hydro Rock Island (County PUD)</t>
  </si>
  <si>
    <t>Box Canyon</t>
  </si>
  <si>
    <t>CHPD - Rocky Reach &amp; Rock Island</t>
  </si>
  <si>
    <t>Rosamond South 1</t>
  </si>
  <si>
    <t xml:space="preserve">I, Vicken Kasarjian, Chief Executive Officer, declare under penalty of perjury, that the information provided in this report is true and correct and that I, as an authorized agent of Marin Clean Energy ("MCE"), have authority to submit this report on the retail supplier's behalf.  I further declare that all of the electricity claimed as specified purchases as shown in this report was sold once and only once to retail customers.
</t>
  </si>
  <si>
    <t>Name: Vicken Kasarjian</t>
  </si>
  <si>
    <t>Dated: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</si>
</sst>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_(* \(#,##0.00\);_(* &quot;-&quot;??_);_(@_)"/>
    <numFmt numFmtId="164" formatCode="0;\-0;;@"/>
    <numFmt numFmtId="165" formatCode="_(* #,##0_);_(* \(#,##0\);_(* &quot;-&quot;??_);_(@_)"/>
    <numFmt numFmtId="166" formatCode="mmmm\ yyyy"/>
    <numFmt numFmtId="167" formatCode="0.0000"/>
    <numFmt numFmtId="168" formatCode="0.000;\-0.000;;@"/>
    <numFmt numFmtId="169" formatCode="_(* #,##0.000_);_(* \(#,##0.000\);_(* &quot;-&quot;??_);_(@_)"/>
    <numFmt numFmtId="170" formatCode="_(* #,##0.000_);_(* \(#,##0.000\);_(* &quot;-&quot;???_);_(@_)"/>
    <numFmt numFmtId="171" formatCode="_(* #,##0.0000_);_(* \(#,##0.0000\);_(* &quot;-&quot;????_);_(@_)"/>
  </numFmts>
  <fonts count="81">
    <font>
      <sz val="11"/>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4"/>
      <color theme="0"/>
      <name val="Arial"/>
      <family val="2"/>
    </font>
    <font>
      <b/>
      <sz val="10"/>
      <color theme="0"/>
      <name val="Arial"/>
      <family val="2"/>
    </font>
    <font>
      <sz val="10"/>
      <color theme="0"/>
      <name val="Arial"/>
      <family val="2"/>
    </font>
    <font>
      <sz val="10"/>
      <name val="Arial"/>
      <family val="2"/>
    </font>
    <font>
      <b/>
      <sz val="14"/>
      <color indexed="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Arial"/>
      <family val="2"/>
    </font>
    <font>
      <b/>
      <sz val="12"/>
      <color theme="1"/>
      <name val="Arial"/>
      <family val="2"/>
    </font>
    <font>
      <u/>
      <sz val="11"/>
      <color theme="10"/>
      <name val="Calibri"/>
      <family val="2"/>
      <scheme val="minor"/>
    </font>
    <font>
      <sz val="11"/>
      <color rgb="FF000000"/>
      <name val="Aptos Narrow"/>
      <family val="2"/>
    </font>
    <font>
      <sz val="12"/>
      <color theme="1"/>
      <name val="Calibri"/>
      <family val="2"/>
      <scheme val="minor"/>
    </font>
    <font>
      <b/>
      <sz val="14"/>
      <color theme="0"/>
      <name val="Arial"/>
      <family val="2"/>
    </font>
    <font>
      <b/>
      <sz val="10"/>
      <color theme="1"/>
      <name val="Arial"/>
      <family val="2"/>
    </font>
    <font>
      <b/>
      <sz val="12"/>
      <color theme="0"/>
      <name val="Arial"/>
      <family val="2"/>
    </font>
    <font>
      <sz val="12"/>
      <color theme="1"/>
      <name val="Arial"/>
      <family val="2"/>
    </font>
    <font>
      <b/>
      <sz val="12"/>
      <name val="Arial"/>
      <family val="2"/>
    </font>
    <font>
      <u/>
      <sz val="12"/>
      <color theme="10"/>
      <name val="Calibri"/>
      <family val="2"/>
      <scheme val="minor"/>
    </font>
    <font>
      <sz val="12"/>
      <color rgb="FF000000"/>
      <name val="Arial"/>
      <family val="2"/>
    </font>
    <font>
      <sz val="12"/>
      <color theme="0"/>
      <name val="Arial"/>
      <family val="2"/>
    </font>
    <font>
      <sz val="10"/>
      <color rgb="FF000000"/>
      <name val="Arial"/>
      <family val="2"/>
    </font>
    <font>
      <b/>
      <sz val="10"/>
      <color rgb="FF000000"/>
      <name val="Arial"/>
      <family val="2"/>
    </font>
    <font>
      <sz val="11"/>
      <color theme="1"/>
      <name val="Arial"/>
      <family val="2"/>
    </font>
    <font>
      <b/>
      <sz val="11"/>
      <color theme="0"/>
      <name val="Arial"/>
      <family val="2"/>
    </font>
    <font>
      <b/>
      <sz val="11"/>
      <color theme="1"/>
      <name val="Arial"/>
      <family val="2"/>
    </font>
    <font>
      <sz val="11"/>
      <color theme="1"/>
      <name val="Arial"/>
      <family val="2"/>
    </font>
    <font>
      <sz val="11"/>
      <color theme="0"/>
      <name val="Arial"/>
      <family val="2"/>
    </font>
    <font>
      <b/>
      <sz val="12"/>
      <color theme="1"/>
      <name val="Calibri"/>
      <family val="2"/>
      <scheme val="minor"/>
    </font>
    <font>
      <b/>
      <sz val="11"/>
      <color rgb="FF242424"/>
      <name val="Aptos Narrow"/>
      <family val="2"/>
    </font>
    <font>
      <b/>
      <sz val="11"/>
      <color indexed="9"/>
      <name val="Arial"/>
      <family val="2"/>
    </font>
    <font>
      <sz val="11"/>
      <color indexed="9"/>
      <name val="Arial"/>
      <family val="2"/>
    </font>
    <font>
      <vertAlign val="subscript"/>
      <sz val="12"/>
      <color theme="0"/>
      <name val="Arial"/>
      <family val="2"/>
    </font>
    <font>
      <b/>
      <vertAlign val="subscript"/>
      <sz val="12"/>
      <color theme="0"/>
      <name val="Arial"/>
      <family val="2"/>
    </font>
    <font>
      <sz val="12"/>
      <name val="Arial"/>
      <family val="2"/>
    </font>
    <font>
      <b/>
      <sz val="14"/>
      <color theme="1"/>
      <name val="Arial"/>
      <family val="2"/>
    </font>
    <font>
      <b/>
      <sz val="12"/>
      <color rgb="FFAF5308"/>
      <name val="Arial"/>
      <family val="2"/>
    </font>
    <font>
      <b/>
      <sz val="14"/>
      <color rgb="FF0E1867"/>
      <name val="Arial"/>
      <family val="2"/>
    </font>
    <font>
      <b/>
      <sz val="14"/>
      <color rgb="FFAF5308"/>
      <name val="Arial"/>
      <family val="2"/>
    </font>
    <font>
      <b/>
      <sz val="11"/>
      <color theme="0"/>
      <name val="Aptos Narrow"/>
      <family val="2"/>
    </font>
    <font>
      <sz val="10"/>
      <color theme="1"/>
      <name val="Arial"/>
      <family val="2"/>
    </font>
    <font>
      <b/>
      <sz val="12"/>
      <color rgb="FF000000"/>
      <name val="Arial"/>
      <family val="2"/>
    </font>
    <font>
      <u/>
      <sz val="12"/>
      <color theme="10"/>
      <name val="Arial"/>
      <family val="2"/>
    </font>
    <font>
      <sz val="11"/>
      <color rgb="FF000000"/>
      <name val="Arial"/>
      <family val="2"/>
    </font>
    <font>
      <b/>
      <sz val="14"/>
      <color rgb="FFFFFFFF"/>
      <name val="Arial"/>
      <family val="2"/>
    </font>
    <font>
      <b/>
      <sz val="12"/>
      <color rgb="FFFFFFFF"/>
      <name val="Arial"/>
      <family val="2"/>
    </font>
    <font>
      <b/>
      <sz val="20"/>
      <color theme="1"/>
      <name val="Arial"/>
      <family val="2"/>
    </font>
    <font>
      <sz val="12"/>
      <color theme="1"/>
      <name val="Arial"/>
      <family val="2"/>
    </font>
    <font>
      <sz val="16"/>
      <color theme="1"/>
      <name val="Arial"/>
      <family val="2"/>
    </font>
    <font>
      <b/>
      <sz val="16"/>
      <color rgb="FFFFFFFF"/>
      <name val="Arial"/>
      <family val="2"/>
    </font>
    <font>
      <b/>
      <sz val="18"/>
      <color rgb="FF000000"/>
      <name val="Arial"/>
      <family val="2"/>
    </font>
    <font>
      <b/>
      <sz val="20"/>
      <color rgb="FF000000"/>
      <name val="Arial"/>
      <family val="2"/>
    </font>
    <font>
      <b/>
      <sz val="12"/>
      <color rgb="FF595959"/>
      <name val="Arial"/>
      <family val="2"/>
    </font>
    <font>
      <b/>
      <sz val="14"/>
      <color rgb="FF595959"/>
      <name val="Arial"/>
      <family val="2"/>
    </font>
    <font>
      <b/>
      <sz val="28"/>
      <color rgb="FF000000"/>
      <name val="Arial"/>
      <family val="2"/>
    </font>
    <font>
      <sz val="16"/>
      <color rgb="FF000000"/>
      <name val="Arial"/>
      <family val="2"/>
    </font>
    <font>
      <b/>
      <sz val="18"/>
      <color theme="0"/>
      <name val="Aptos Narrow"/>
      <family val="2"/>
    </font>
    <font>
      <sz val="10"/>
      <color rgb="FF242424"/>
      <name val="Ariel"/>
    </font>
    <font>
      <b/>
      <sz val="10"/>
      <color rgb="FF242424"/>
      <name val="Ariel"/>
    </font>
    <font>
      <sz val="10"/>
      <color theme="1"/>
      <name val="Ariel"/>
    </font>
    <font>
      <vertAlign val="subscript"/>
      <sz val="11"/>
      <color theme="0"/>
      <name val="Arial"/>
      <family val="2"/>
    </font>
    <font>
      <b/>
      <vertAlign val="subscript"/>
      <sz val="12"/>
      <color theme="1"/>
      <name val="Arial"/>
      <family val="2"/>
    </font>
    <font>
      <b/>
      <vertAlign val="subscript"/>
      <sz val="12"/>
      <color rgb="FF000000"/>
      <name val="Arial"/>
      <family val="2"/>
    </font>
    <font>
      <sz val="11"/>
      <color theme="1"/>
      <name val="Arial"/>
      <family val="2"/>
    </font>
    <font>
      <sz val="11"/>
      <color theme="1"/>
      <name val="Century Gothic"/>
      <family val="2"/>
    </font>
  </fonts>
  <fills count="51">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indexed="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3" tint="0.79998168889431442"/>
        <bgColor indexed="64"/>
      </patternFill>
    </fill>
    <fill>
      <patternFill patternType="solid">
        <fgColor rgb="FF0E1867"/>
        <bgColor indexed="64"/>
      </patternFill>
    </fill>
    <fill>
      <patternFill patternType="solid">
        <fgColor rgb="FFAF5308"/>
        <bgColor indexed="64"/>
      </patternFill>
    </fill>
    <fill>
      <patternFill patternType="solid">
        <fgColor theme="1" tint="0.34998626667073579"/>
        <bgColor indexed="64"/>
      </patternFill>
    </fill>
    <fill>
      <patternFill patternType="solid">
        <fgColor indexed="9"/>
        <bgColor indexed="64"/>
      </patternFill>
    </fill>
    <fill>
      <patternFill patternType="solid">
        <fgColor theme="0" tint="-0.14999847407452621"/>
        <bgColor theme="0" tint="-0.14999847407452621"/>
      </patternFill>
    </fill>
    <fill>
      <patternFill patternType="solid">
        <fgColor rgb="FF595959"/>
        <bgColor indexed="64"/>
      </patternFill>
    </fill>
    <fill>
      <patternFill patternType="solid">
        <fgColor rgb="FF000000"/>
        <bgColor rgb="FF000000"/>
      </patternFill>
    </fill>
    <fill>
      <patternFill patternType="solid">
        <fgColor rgb="FF7030A0"/>
        <bgColor rgb="FF000000"/>
      </patternFill>
    </fill>
    <fill>
      <patternFill patternType="solid">
        <fgColor rgb="FFFFFFFF"/>
        <bgColor rgb="FF000000"/>
      </patternFill>
    </fill>
    <fill>
      <patternFill patternType="solid">
        <fgColor rgb="FF7030A0"/>
        <bgColor indexed="64"/>
      </patternFill>
    </fill>
    <fill>
      <patternFill patternType="solid">
        <fgColor theme="0" tint="-4.9989318521683403E-2"/>
        <bgColor indexed="64"/>
      </patternFill>
    </fill>
  </fills>
  <borders count="92">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top/>
      <bottom/>
      <diagonal/>
    </border>
    <border>
      <left/>
      <right/>
      <top style="thin">
        <color theme="1"/>
      </top>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rgb="FF000000"/>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medium">
        <color indexed="64"/>
      </top>
      <bottom style="thin">
        <color theme="4" tint="0.39997558519241921"/>
      </bottom>
      <diagonal/>
    </border>
    <border>
      <left/>
      <right/>
      <top style="thin">
        <color theme="4" tint="0.39997558519241921"/>
      </top>
      <bottom style="thin">
        <color theme="4" tint="0.3999755851924192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theme="4" tint="0.39997558519241921"/>
      </right>
      <top style="thin">
        <color theme="4" tint="0.39997558519241921"/>
      </top>
      <bottom style="medium">
        <color indexed="64"/>
      </bottom>
      <diagonal/>
    </border>
    <border>
      <left style="thin">
        <color indexed="64"/>
      </left>
      <right style="thin">
        <color indexed="64"/>
      </right>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rgb="FF000000"/>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top/>
      <bottom/>
      <diagonal/>
    </border>
    <border>
      <left style="thin">
        <color indexed="64"/>
      </left>
      <right style="thin">
        <color rgb="FF000000"/>
      </right>
      <top/>
      <bottom/>
      <diagonal/>
    </border>
    <border>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ck">
        <color indexed="64"/>
      </left>
      <right style="thin">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54">
    <xf numFmtId="0" fontId="0" fillId="0" borderId="0"/>
    <xf numFmtId="43" fontId="5" fillId="0" borderId="0" applyFont="0" applyFill="0" applyBorder="0" applyAlignment="0" applyProtection="0"/>
    <xf numFmtId="9" fontId="5" fillId="0" borderId="0" applyFont="0" applyFill="0" applyBorder="0" applyAlignment="0" applyProtection="0"/>
    <xf numFmtId="0" fontId="11" fillId="0" borderId="0" applyNumberFormat="0" applyFill="0" applyBorder="0" applyAlignment="0" applyProtection="0"/>
    <xf numFmtId="0" fontId="12" fillId="0" borderId="16" applyNumberFormat="0" applyFill="0" applyAlignment="0" applyProtection="0"/>
    <xf numFmtId="0" fontId="13" fillId="0" borderId="17" applyNumberFormat="0" applyFill="0" applyAlignment="0" applyProtection="0"/>
    <xf numFmtId="0" fontId="14" fillId="0" borderId="18" applyNumberFormat="0" applyFill="0" applyAlignment="0" applyProtection="0"/>
    <xf numFmtId="0" fontId="14" fillId="0" borderId="0" applyNumberFormat="0" applyFill="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xf numFmtId="0" fontId="18" fillId="10" borderId="19" applyNumberFormat="0" applyAlignment="0" applyProtection="0"/>
    <xf numFmtId="0" fontId="19" fillId="11" borderId="20" applyNumberFormat="0" applyAlignment="0" applyProtection="0"/>
    <xf numFmtId="0" fontId="20" fillId="11" borderId="19" applyNumberFormat="0" applyAlignment="0" applyProtection="0"/>
    <xf numFmtId="0" fontId="21" fillId="0" borderId="21" applyNumberFormat="0" applyFill="0" applyAlignment="0" applyProtection="0"/>
    <xf numFmtId="0" fontId="2" fillId="12" borderId="22" applyNumberFormat="0" applyAlignment="0" applyProtection="0"/>
    <xf numFmtId="0" fontId="22" fillId="0" borderId="0" applyNumberFormat="0" applyFill="0" applyBorder="0" applyAlignment="0" applyProtection="0"/>
    <xf numFmtId="0" fontId="5" fillId="13" borderId="23" applyNumberFormat="0" applyFont="0" applyAlignment="0" applyProtection="0"/>
    <xf numFmtId="0" fontId="23" fillId="0" borderId="0" applyNumberFormat="0" applyFill="0" applyBorder="0" applyAlignment="0" applyProtection="0"/>
    <xf numFmtId="0" fontId="4" fillId="0" borderId="24" applyNumberFormat="0" applyFill="0" applyAlignment="0" applyProtection="0"/>
    <xf numFmtId="0" fontId="3"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3"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3"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3"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3"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3"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43" fontId="9" fillId="0" borderId="0" applyFont="0" applyFill="0" applyBorder="0" applyAlignment="0" applyProtection="0"/>
    <xf numFmtId="0" fontId="9" fillId="0" borderId="0"/>
    <xf numFmtId="0" fontId="9" fillId="0" borderId="0"/>
    <xf numFmtId="43" fontId="5" fillId="0" borderId="0" applyFont="0" applyFill="0" applyBorder="0" applyAlignment="0" applyProtection="0"/>
    <xf numFmtId="9" fontId="5" fillId="0" borderId="0" applyFont="0" applyFill="0" applyBorder="0" applyAlignment="0" applyProtection="0"/>
    <xf numFmtId="0" fontId="9" fillId="0" borderId="0"/>
    <xf numFmtId="0" fontId="7" fillId="38" borderId="25" applyNumberFormat="0">
      <alignment vertical="center"/>
    </xf>
    <xf numFmtId="0" fontId="24" fillId="2" borderId="25" applyAlignment="0">
      <alignment horizontal="left"/>
    </xf>
    <xf numFmtId="0" fontId="24" fillId="39" borderId="25" applyNumberFormat="0">
      <alignment vertical="center"/>
    </xf>
    <xf numFmtId="0" fontId="26" fillId="0" borderId="0" applyNumberFormat="0" applyFill="0" applyBorder="0" applyAlignment="0" applyProtection="0"/>
  </cellStyleXfs>
  <cellXfs count="287">
    <xf numFmtId="0" fontId="0" fillId="0" borderId="0" xfId="0"/>
    <xf numFmtId="0" fontId="8" fillId="3" borderId="0" xfId="0" applyFont="1" applyFill="1" applyAlignment="1">
      <alignment wrapText="1"/>
    </xf>
    <xf numFmtId="0" fontId="27" fillId="0" borderId="0" xfId="0" applyFont="1"/>
    <xf numFmtId="0" fontId="26" fillId="0" borderId="0" xfId="53" applyFill="1" applyBorder="1" applyAlignment="1"/>
    <xf numFmtId="0" fontId="28" fillId="0" borderId="0" xfId="0" applyFont="1"/>
    <xf numFmtId="9" fontId="28" fillId="0" borderId="0" xfId="0" applyNumberFormat="1" applyFont="1"/>
    <xf numFmtId="0" fontId="30" fillId="0" borderId="0" xfId="0" applyFont="1" applyAlignment="1">
      <alignment horizontal="center" vertical="center" wrapText="1"/>
    </xf>
    <xf numFmtId="0" fontId="32" fillId="0" borderId="0" xfId="0" applyFont="1"/>
    <xf numFmtId="0" fontId="33" fillId="43" borderId="0" xfId="0" applyFont="1" applyFill="1" applyAlignment="1">
      <alignment horizontal="centerContinuous" wrapText="1"/>
    </xf>
    <xf numFmtId="0" fontId="33" fillId="43" borderId="0" xfId="0" applyFont="1" applyFill="1" applyAlignment="1">
      <alignment horizontal="centerContinuous" vertical="center" wrapText="1"/>
    </xf>
    <xf numFmtId="0" fontId="34" fillId="43" borderId="0" xfId="53" applyFont="1" applyFill="1" applyAlignment="1">
      <alignment horizontal="centerContinuous" wrapText="1"/>
    </xf>
    <xf numFmtId="0" fontId="33" fillId="0" borderId="0" xfId="0" applyFont="1" applyAlignment="1">
      <alignment horizontal="centerContinuous" wrapText="1"/>
    </xf>
    <xf numFmtId="0" fontId="39" fillId="0" borderId="0" xfId="0" applyFont="1"/>
    <xf numFmtId="1" fontId="39" fillId="0" borderId="0" xfId="0" applyNumberFormat="1" applyFont="1"/>
    <xf numFmtId="0" fontId="43" fillId="3" borderId="11" xfId="0" applyFont="1" applyFill="1" applyBorder="1" applyAlignment="1">
      <alignment wrapText="1"/>
    </xf>
    <xf numFmtId="0" fontId="43" fillId="3" borderId="2" xfId="0" applyFont="1" applyFill="1" applyBorder="1" applyAlignment="1">
      <alignment wrapText="1"/>
    </xf>
    <xf numFmtId="0" fontId="43" fillId="3" borderId="27" xfId="0" applyFont="1" applyFill="1" applyBorder="1" applyAlignment="1">
      <alignment wrapText="1"/>
    </xf>
    <xf numFmtId="0" fontId="42" fillId="0" borderId="0" xfId="0" applyFont="1"/>
    <xf numFmtId="0" fontId="44" fillId="0" borderId="28" xfId="0" applyFont="1" applyBorder="1" applyAlignment="1">
      <alignment wrapText="1"/>
    </xf>
    <xf numFmtId="0" fontId="28" fillId="44" borderId="28" xfId="0" applyFont="1" applyFill="1" applyBorder="1"/>
    <xf numFmtId="1" fontId="28" fillId="44" borderId="28" xfId="0" applyNumberFormat="1" applyFont="1" applyFill="1" applyBorder="1"/>
    <xf numFmtId="0" fontId="28" fillId="44" borderId="0" xfId="0" applyFont="1" applyFill="1"/>
    <xf numFmtId="9" fontId="28" fillId="44" borderId="0" xfId="0" applyNumberFormat="1" applyFont="1" applyFill="1"/>
    <xf numFmtId="0" fontId="28" fillId="44" borderId="29" xfId="0" applyFont="1" applyFill="1" applyBorder="1"/>
    <xf numFmtId="9" fontId="28" fillId="44" borderId="29" xfId="0" applyNumberFormat="1" applyFont="1" applyFill="1" applyBorder="1"/>
    <xf numFmtId="9" fontId="28" fillId="44" borderId="29" xfId="0" applyNumberFormat="1" applyFont="1" applyFill="1" applyBorder="1" applyAlignment="1">
      <alignment horizontal="right"/>
    </xf>
    <xf numFmtId="49" fontId="45" fillId="0" borderId="28" xfId="0" applyNumberFormat="1" applyFont="1" applyBorder="1" applyAlignment="1">
      <alignment wrapText="1"/>
    </xf>
    <xf numFmtId="0" fontId="45" fillId="0" borderId="28" xfId="0" applyFont="1" applyBorder="1" applyAlignment="1">
      <alignment wrapText="1"/>
    </xf>
    <xf numFmtId="0" fontId="46" fillId="6" borderId="0" xfId="0" applyFont="1" applyFill="1" applyAlignment="1">
      <alignment horizontal="left" wrapText="1"/>
    </xf>
    <xf numFmtId="0" fontId="46" fillId="40" borderId="0" xfId="0" applyFont="1" applyFill="1" applyAlignment="1">
      <alignment horizontal="left" wrapText="1"/>
    </xf>
    <xf numFmtId="0" fontId="47" fillId="40" borderId="0" xfId="0" applyFont="1" applyFill="1" applyAlignment="1">
      <alignment horizontal="left" wrapText="1"/>
    </xf>
    <xf numFmtId="0" fontId="46" fillId="41" borderId="0" xfId="0" applyFont="1" applyFill="1" applyAlignment="1">
      <alignment horizontal="left" wrapText="1"/>
    </xf>
    <xf numFmtId="0" fontId="47" fillId="41" borderId="0" xfId="0" applyFont="1" applyFill="1" applyAlignment="1">
      <alignment horizontal="left" wrapText="1"/>
    </xf>
    <xf numFmtId="0" fontId="39" fillId="0" borderId="0" xfId="0" applyFont="1" applyAlignment="1">
      <alignment horizontal="left"/>
    </xf>
    <xf numFmtId="167" fontId="32" fillId="5" borderId="2" xfId="0" applyNumberFormat="1" applyFont="1" applyFill="1" applyBorder="1"/>
    <xf numFmtId="0" fontId="32" fillId="0" borderId="0" xfId="0" applyFont="1" applyProtection="1">
      <protection locked="0"/>
    </xf>
    <xf numFmtId="164" fontId="32" fillId="0" borderId="0" xfId="0" applyNumberFormat="1" applyFont="1" applyProtection="1">
      <protection locked="0"/>
    </xf>
    <xf numFmtId="0" fontId="32" fillId="0" borderId="0" xfId="0" applyFont="1" applyAlignment="1" applyProtection="1">
      <alignment horizontal="center" vertical="center" wrapText="1"/>
      <protection locked="0"/>
    </xf>
    <xf numFmtId="164" fontId="32" fillId="4" borderId="2" xfId="0" applyNumberFormat="1" applyFont="1" applyFill="1" applyBorder="1" applyProtection="1">
      <protection locked="0"/>
    </xf>
    <xf numFmtId="164" fontId="32" fillId="4" borderId="2" xfId="0" applyNumberFormat="1" applyFont="1" applyFill="1" applyBorder="1" applyAlignment="1" applyProtection="1">
      <alignment wrapText="1"/>
      <protection locked="0"/>
    </xf>
    <xf numFmtId="0" fontId="32" fillId="4" borderId="2" xfId="0" applyFont="1" applyFill="1" applyBorder="1" applyProtection="1">
      <protection locked="0"/>
    </xf>
    <xf numFmtId="0" fontId="39" fillId="0" borderId="2" xfId="0" applyFont="1" applyBorder="1"/>
    <xf numFmtId="49" fontId="36" fillId="3" borderId="6" xfId="0" applyNumberFormat="1" applyFont="1" applyFill="1" applyBorder="1" applyAlignment="1">
      <alignment horizontal="center" vertical="center" wrapText="1"/>
    </xf>
    <xf numFmtId="0" fontId="40" fillId="3" borderId="0" xfId="0" applyFont="1" applyFill="1"/>
    <xf numFmtId="165" fontId="32" fillId="4" borderId="2" xfId="1" applyNumberFormat="1" applyFont="1" applyFill="1" applyBorder="1" applyProtection="1">
      <protection locked="0"/>
    </xf>
    <xf numFmtId="165" fontId="32" fillId="5" borderId="2" xfId="1" applyNumberFormat="1" applyFont="1" applyFill="1" applyBorder="1"/>
    <xf numFmtId="165" fontId="32" fillId="0" borderId="2" xfId="1" applyNumberFormat="1" applyFont="1" applyBorder="1" applyProtection="1">
      <protection locked="0"/>
    </xf>
    <xf numFmtId="168" fontId="32" fillId="4" borderId="2" xfId="0" applyNumberFormat="1" applyFont="1" applyFill="1" applyBorder="1" applyProtection="1">
      <protection locked="0"/>
    </xf>
    <xf numFmtId="165" fontId="32" fillId="5" borderId="7" xfId="1" applyNumberFormat="1" applyFont="1" applyFill="1" applyBorder="1" applyAlignment="1">
      <alignment horizontal="right"/>
    </xf>
    <xf numFmtId="165" fontId="32" fillId="5" borderId="26" xfId="1" applyNumberFormat="1" applyFont="1" applyFill="1" applyBorder="1" applyAlignment="1">
      <alignment horizontal="right"/>
    </xf>
    <xf numFmtId="0" fontId="32" fillId="5" borderId="33" xfId="0" applyFont="1" applyFill="1" applyBorder="1" applyAlignment="1" applyProtection="1">
      <alignment horizontal="center" vertical="center"/>
      <protection locked="0"/>
    </xf>
    <xf numFmtId="0" fontId="38" fillId="0" borderId="0" xfId="0" applyFont="1"/>
    <xf numFmtId="0" fontId="38" fillId="0" borderId="0" xfId="0" applyFont="1" applyAlignment="1">
      <alignment wrapText="1"/>
    </xf>
    <xf numFmtId="0" fontId="55" fillId="3" borderId="0" xfId="0" applyFont="1" applyFill="1" applyAlignment="1">
      <alignment horizontal="center"/>
    </xf>
    <xf numFmtId="0" fontId="55" fillId="3" borderId="0" xfId="0" applyFont="1" applyFill="1" applyAlignment="1">
      <alignment horizontal="left"/>
    </xf>
    <xf numFmtId="0" fontId="56" fillId="0" borderId="0" xfId="0" applyFont="1"/>
    <xf numFmtId="0" fontId="2" fillId="3" borderId="0" xfId="0" applyFont="1" applyFill="1" applyAlignment="1">
      <alignment horizontal="centerContinuous"/>
    </xf>
    <xf numFmtId="0" fontId="41" fillId="0" borderId="0" xfId="0" applyFont="1"/>
    <xf numFmtId="0" fontId="32" fillId="0" borderId="0" xfId="0" applyFont="1" applyAlignment="1" applyProtection="1">
      <alignment vertical="center"/>
      <protection locked="0"/>
    </xf>
    <xf numFmtId="0" fontId="32" fillId="0" borderId="0" xfId="0" applyFont="1" applyAlignment="1">
      <alignment wrapText="1"/>
    </xf>
    <xf numFmtId="164" fontId="32" fillId="4" borderId="26" xfId="0" applyNumberFormat="1" applyFont="1" applyFill="1" applyBorder="1" applyProtection="1">
      <protection locked="0"/>
    </xf>
    <xf numFmtId="168" fontId="32" fillId="4" borderId="26" xfId="0" applyNumberFormat="1" applyFont="1" applyFill="1" applyBorder="1" applyProtection="1">
      <protection locked="0"/>
    </xf>
    <xf numFmtId="165" fontId="32" fillId="5" borderId="26" xfId="1" applyNumberFormat="1" applyFont="1" applyFill="1" applyBorder="1"/>
    <xf numFmtId="167" fontId="32" fillId="5" borderId="26" xfId="0" applyNumberFormat="1" applyFont="1" applyFill="1" applyBorder="1"/>
    <xf numFmtId="165" fontId="32" fillId="0" borderId="26" xfId="1" applyNumberFormat="1" applyFont="1" applyBorder="1" applyProtection="1">
      <protection locked="0"/>
    </xf>
    <xf numFmtId="49" fontId="36" fillId="3" borderId="6" xfId="0" applyNumberFormat="1" applyFont="1" applyFill="1" applyBorder="1" applyAlignment="1">
      <alignment horizontal="left" vertical="center" wrapText="1"/>
    </xf>
    <xf numFmtId="49" fontId="36" fillId="3" borderId="0" xfId="0" applyNumberFormat="1" applyFont="1" applyFill="1" applyAlignment="1" applyProtection="1">
      <alignment horizontal="left" vertical="center" wrapText="1"/>
      <protection locked="0"/>
    </xf>
    <xf numFmtId="49" fontId="36" fillId="3" borderId="0" xfId="0" applyNumberFormat="1" applyFont="1" applyFill="1" applyAlignment="1">
      <alignment horizontal="left" vertical="center" wrapText="1"/>
    </xf>
    <xf numFmtId="165" fontId="32" fillId="5" borderId="2" xfId="1" applyNumberFormat="1" applyFont="1" applyFill="1" applyBorder="1" applyAlignment="1">
      <alignment horizontal="center" wrapText="1"/>
    </xf>
    <xf numFmtId="0" fontId="31" fillId="3" borderId="38" xfId="0" applyFont="1" applyFill="1" applyBorder="1" applyAlignment="1">
      <alignment horizontal="center" vertical="center" wrapText="1"/>
    </xf>
    <xf numFmtId="0" fontId="31" fillId="3" borderId="39" xfId="0" applyFont="1" applyFill="1" applyBorder="1" applyAlignment="1">
      <alignment horizontal="center" vertical="center" wrapText="1"/>
    </xf>
    <xf numFmtId="0" fontId="31" fillId="3" borderId="40" xfId="0" applyFont="1" applyFill="1" applyBorder="1" applyAlignment="1">
      <alignment horizontal="center" vertical="center" wrapText="1"/>
    </xf>
    <xf numFmtId="0" fontId="29" fillId="3" borderId="0" xfId="0" applyFont="1" applyFill="1" applyAlignment="1">
      <alignment horizontal="centerContinuous" vertical="center"/>
    </xf>
    <xf numFmtId="0" fontId="25" fillId="0" borderId="0" xfId="0" applyFont="1" applyAlignment="1">
      <alignment vertical="center" wrapText="1"/>
    </xf>
    <xf numFmtId="0" fontId="58" fillId="43" borderId="0" xfId="53" applyFont="1" applyFill="1" applyAlignment="1">
      <alignment horizontal="centerContinuous" wrapText="1"/>
    </xf>
    <xf numFmtId="0" fontId="32" fillId="5" borderId="2" xfId="0" applyFont="1" applyFill="1" applyBorder="1"/>
    <xf numFmtId="0" fontId="39" fillId="0" borderId="2" xfId="0" applyFont="1" applyBorder="1" applyAlignment="1">
      <alignment wrapText="1"/>
    </xf>
    <xf numFmtId="0" fontId="46" fillId="42" borderId="0" xfId="0" applyFont="1" applyFill="1" applyAlignment="1">
      <alignment horizontal="left" wrapText="1"/>
    </xf>
    <xf numFmtId="2" fontId="39" fillId="0" borderId="11" xfId="0" applyNumberFormat="1" applyFont="1" applyBorder="1" applyAlignment="1">
      <alignment horizontal="center" vertical="center" wrapText="1"/>
    </xf>
    <xf numFmtId="167" fontId="39" fillId="0" borderId="2" xfId="0" applyNumberFormat="1" applyFont="1" applyBorder="1"/>
    <xf numFmtId="167" fontId="39" fillId="0" borderId="4" xfId="0" applyNumberFormat="1" applyFont="1" applyBorder="1"/>
    <xf numFmtId="167" fontId="39" fillId="0" borderId="2" xfId="0" applyNumberFormat="1" applyFont="1" applyBorder="1" applyAlignment="1">
      <alignment wrapText="1"/>
    </xf>
    <xf numFmtId="167" fontId="39" fillId="0" borderId="4" xfId="0" applyNumberFormat="1" applyFont="1" applyBorder="1" applyAlignment="1">
      <alignment wrapText="1"/>
    </xf>
    <xf numFmtId="2" fontId="39" fillId="0" borderId="8" xfId="0" applyNumberFormat="1" applyFont="1" applyBorder="1" applyAlignment="1">
      <alignment horizontal="center" vertical="center" wrapText="1"/>
    </xf>
    <xf numFmtId="0" fontId="39" fillId="0" borderId="26" xfId="0" applyFont="1" applyBorder="1" applyAlignment="1">
      <alignment wrapText="1"/>
    </xf>
    <xf numFmtId="167" fontId="39" fillId="0" borderId="26" xfId="0" applyNumberFormat="1" applyFont="1" applyBorder="1" applyAlignment="1">
      <alignment wrapText="1"/>
    </xf>
    <xf numFmtId="167" fontId="39" fillId="0" borderId="7" xfId="0" applyNumberFormat="1" applyFont="1" applyBorder="1" applyAlignment="1">
      <alignment wrapText="1"/>
    </xf>
    <xf numFmtId="0" fontId="59" fillId="0" borderId="0" xfId="0" applyFont="1"/>
    <xf numFmtId="0" fontId="6" fillId="3" borderId="0" xfId="0" applyFont="1" applyFill="1" applyAlignment="1">
      <alignment horizontal="centerContinuous"/>
    </xf>
    <xf numFmtId="0" fontId="35" fillId="0" borderId="0" xfId="0" applyFont="1"/>
    <xf numFmtId="0" fontId="61" fillId="46" borderId="9" xfId="0" applyFont="1" applyFill="1" applyBorder="1"/>
    <xf numFmtId="0" fontId="61" fillId="46" borderId="12" xfId="0" applyFont="1" applyFill="1" applyBorder="1" applyAlignment="1">
      <alignment wrapText="1"/>
    </xf>
    <xf numFmtId="0" fontId="29" fillId="3" borderId="0" xfId="0" applyFont="1" applyFill="1" applyAlignment="1">
      <alignment horizontal="left" vertical="center"/>
    </xf>
    <xf numFmtId="0" fontId="29" fillId="4" borderId="0" xfId="0" applyFont="1" applyFill="1" applyAlignment="1">
      <alignment horizontal="centerContinuous" vertical="center"/>
    </xf>
    <xf numFmtId="0" fontId="31" fillId="3" borderId="0" xfId="0" applyFont="1" applyFill="1" applyAlignment="1">
      <alignment horizontal="left" vertical="center"/>
    </xf>
    <xf numFmtId="0" fontId="33" fillId="43" borderId="0" xfId="0" applyFont="1" applyFill="1"/>
    <xf numFmtId="0" fontId="33" fillId="0" borderId="0" xfId="0" applyFont="1" applyAlignment="1">
      <alignment horizontal="left"/>
    </xf>
    <xf numFmtId="0" fontId="58" fillId="43" borderId="0" xfId="53" applyFont="1" applyFill="1" applyAlignment="1">
      <alignment horizontal="left"/>
    </xf>
    <xf numFmtId="0" fontId="10" fillId="6" borderId="3" xfId="0" applyFont="1" applyFill="1" applyBorder="1" applyAlignment="1">
      <alignment horizontal="centerContinuous"/>
    </xf>
    <xf numFmtId="0" fontId="10" fillId="6" borderId="13" xfId="0" applyFont="1" applyFill="1" applyBorder="1" applyAlignment="1">
      <alignment horizontal="centerContinuous" wrapText="1"/>
    </xf>
    <xf numFmtId="0" fontId="10" fillId="6" borderId="14" xfId="0" applyFont="1" applyFill="1" applyBorder="1" applyAlignment="1">
      <alignment horizontal="centerContinuous" wrapText="1"/>
    </xf>
    <xf numFmtId="0" fontId="10" fillId="6" borderId="1" xfId="0" applyFont="1" applyFill="1" applyBorder="1" applyAlignment="1">
      <alignment horizontal="centerContinuous"/>
    </xf>
    <xf numFmtId="0" fontId="10" fillId="6" borderId="0" xfId="0" applyFont="1" applyFill="1" applyAlignment="1">
      <alignment horizontal="centerContinuous"/>
    </xf>
    <xf numFmtId="0" fontId="10" fillId="6" borderId="15" xfId="0" applyFont="1" applyFill="1" applyBorder="1" applyAlignment="1">
      <alignment horizontal="centerContinuous"/>
    </xf>
    <xf numFmtId="0" fontId="10" fillId="6" borderId="1" xfId="0" applyFont="1" applyFill="1" applyBorder="1" applyAlignment="1" applyProtection="1">
      <alignment horizontal="centerContinuous"/>
      <protection locked="0"/>
    </xf>
    <xf numFmtId="0" fontId="10" fillId="6" borderId="0" xfId="0" applyFont="1" applyFill="1" applyAlignment="1" applyProtection="1">
      <alignment horizontal="centerContinuous" wrapText="1"/>
      <protection locked="0"/>
    </xf>
    <xf numFmtId="0" fontId="10" fillId="6" borderId="15" xfId="0" applyFont="1" applyFill="1" applyBorder="1" applyAlignment="1" applyProtection="1">
      <alignment horizontal="centerContinuous" wrapText="1"/>
      <protection locked="0"/>
    </xf>
    <xf numFmtId="1" fontId="51" fillId="0" borderId="5" xfId="1" applyNumberFormat="1" applyFont="1" applyFill="1" applyBorder="1" applyAlignment="1">
      <alignment horizontal="center" vertical="center" wrapText="1"/>
    </xf>
    <xf numFmtId="9" fontId="32" fillId="0" borderId="2" xfId="2" applyFont="1" applyFill="1" applyBorder="1" applyAlignment="1">
      <alignment horizontal="center" wrapText="1"/>
    </xf>
    <xf numFmtId="9" fontId="25" fillId="0" borderId="2" xfId="2" applyFont="1" applyFill="1" applyBorder="1" applyAlignment="1">
      <alignment horizontal="center" wrapText="1"/>
    </xf>
    <xf numFmtId="0" fontId="31" fillId="3" borderId="34" xfId="0" applyFont="1" applyFill="1" applyBorder="1" applyAlignment="1">
      <alignment horizontal="center" wrapText="1"/>
    </xf>
    <xf numFmtId="0" fontId="31" fillId="3" borderId="35" xfId="0" applyFont="1" applyFill="1" applyBorder="1" applyAlignment="1">
      <alignment horizontal="center" wrapText="1"/>
    </xf>
    <xf numFmtId="165" fontId="32" fillId="5" borderId="2" xfId="1" applyNumberFormat="1" applyFont="1" applyFill="1" applyBorder="1" applyProtection="1">
      <protection locked="0"/>
    </xf>
    <xf numFmtId="165" fontId="32" fillId="5" borderId="4" xfId="1" applyNumberFormat="1" applyFont="1" applyFill="1" applyBorder="1"/>
    <xf numFmtId="165" fontId="32" fillId="5" borderId="7" xfId="1" applyNumberFormat="1" applyFont="1" applyFill="1" applyBorder="1"/>
    <xf numFmtId="0" fontId="35" fillId="5" borderId="36" xfId="0" applyFont="1" applyFill="1" applyBorder="1"/>
    <xf numFmtId="0" fontId="9" fillId="5" borderId="11" xfId="0" applyFont="1" applyFill="1" applyBorder="1"/>
    <xf numFmtId="0" fontId="39" fillId="5" borderId="2" xfId="0" applyFont="1" applyFill="1" applyBorder="1"/>
    <xf numFmtId="2" fontId="39" fillId="5" borderId="2" xfId="0" applyNumberFormat="1" applyFont="1" applyFill="1" applyBorder="1"/>
    <xf numFmtId="0" fontId="37" fillId="5" borderId="2" xfId="0" applyFont="1" applyFill="1" applyBorder="1"/>
    <xf numFmtId="165" fontId="37" fillId="5" borderId="2" xfId="0" applyNumberFormat="1" applyFont="1" applyFill="1" applyBorder="1"/>
    <xf numFmtId="10" fontId="37" fillId="5" borderId="2" xfId="2" applyNumberFormat="1" applyFont="1" applyFill="1" applyBorder="1"/>
    <xf numFmtId="49" fontId="57" fillId="5" borderId="32" xfId="0" applyNumberFormat="1" applyFont="1" applyFill="1" applyBorder="1"/>
    <xf numFmtId="49" fontId="25" fillId="5" borderId="2" xfId="0" applyNumberFormat="1" applyFont="1" applyFill="1" applyBorder="1"/>
    <xf numFmtId="0" fontId="32" fillId="5" borderId="30" xfId="0" applyFont="1" applyFill="1" applyBorder="1" applyAlignment="1" applyProtection="1">
      <alignment horizontal="center" vertical="center" wrapText="1"/>
      <protection locked="0"/>
    </xf>
    <xf numFmtId="0" fontId="32" fillId="5" borderId="30" xfId="0" applyFont="1" applyFill="1" applyBorder="1" applyAlignment="1" applyProtection="1">
      <alignment horizontal="center" vertical="center"/>
      <protection locked="0"/>
    </xf>
    <xf numFmtId="0" fontId="32" fillId="5" borderId="31"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protection locked="0"/>
    </xf>
    <xf numFmtId="166" fontId="25" fillId="0" borderId="0" xfId="0" applyNumberFormat="1" applyFont="1" applyAlignment="1">
      <alignment vertical="center"/>
    </xf>
    <xf numFmtId="0" fontId="31" fillId="3" borderId="13" xfId="0" applyFont="1" applyFill="1" applyBorder="1" applyAlignment="1" applyProtection="1">
      <alignment horizontal="center"/>
      <protection locked="0"/>
    </xf>
    <xf numFmtId="0" fontId="62" fillId="5" borderId="49" xfId="0" applyFont="1" applyFill="1" applyBorder="1" applyAlignment="1" applyProtection="1">
      <alignment horizontal="centerContinuous"/>
      <protection locked="0"/>
    </xf>
    <xf numFmtId="0" fontId="62" fillId="5" borderId="50" xfId="0" applyFont="1" applyFill="1" applyBorder="1" applyAlignment="1" applyProtection="1">
      <alignment horizontal="centerContinuous"/>
      <protection locked="0"/>
    </xf>
    <xf numFmtId="1" fontId="25" fillId="5" borderId="51" xfId="0" applyNumberFormat="1" applyFont="1" applyFill="1" applyBorder="1" applyAlignment="1">
      <alignment horizontal="left" wrapText="1"/>
    </xf>
    <xf numFmtId="1" fontId="31" fillId="40" borderId="51" xfId="0" applyNumberFormat="1" applyFont="1" applyFill="1" applyBorder="1" applyAlignment="1">
      <alignment horizontal="left" wrapText="1"/>
    </xf>
    <xf numFmtId="165" fontId="32" fillId="5" borderId="52" xfId="1" applyNumberFormat="1" applyFont="1" applyFill="1" applyBorder="1" applyAlignment="1">
      <alignment horizontal="center" wrapText="1"/>
    </xf>
    <xf numFmtId="1" fontId="31" fillId="45" borderId="51" xfId="0" applyNumberFormat="1" applyFont="1" applyFill="1" applyBorder="1" applyAlignment="1">
      <alignment horizontal="left" wrapText="1"/>
    </xf>
    <xf numFmtId="1" fontId="31" fillId="41" borderId="51" xfId="0" applyNumberFormat="1" applyFont="1" applyFill="1" applyBorder="1" applyAlignment="1">
      <alignment horizontal="left" wrapText="1"/>
    </xf>
    <xf numFmtId="165" fontId="32" fillId="5" borderId="26" xfId="1" applyNumberFormat="1" applyFont="1" applyFill="1" applyBorder="1" applyAlignment="1">
      <alignment horizontal="center" wrapText="1"/>
    </xf>
    <xf numFmtId="165" fontId="32" fillId="5" borderId="10" xfId="1" applyNumberFormat="1" applyFont="1" applyFill="1" applyBorder="1" applyAlignment="1">
      <alignment horizontal="center" wrapText="1"/>
    </xf>
    <xf numFmtId="165" fontId="32" fillId="5" borderId="11" xfId="1" applyNumberFormat="1" applyFont="1" applyFill="1" applyBorder="1" applyAlignment="1">
      <alignment horizontal="center" wrapText="1"/>
    </xf>
    <xf numFmtId="0" fontId="31" fillId="3" borderId="55" xfId="0" applyFont="1" applyFill="1" applyBorder="1" applyAlignment="1">
      <alignment horizontal="center" wrapText="1"/>
    </xf>
    <xf numFmtId="0" fontId="31" fillId="3" borderId="56" xfId="0" applyFont="1" applyFill="1" applyBorder="1" applyAlignment="1">
      <alignment horizontal="center"/>
    </xf>
    <xf numFmtId="1" fontId="31" fillId="40" borderId="58" xfId="0" applyNumberFormat="1" applyFont="1" applyFill="1" applyBorder="1" applyAlignment="1">
      <alignment horizontal="left" wrapText="1"/>
    </xf>
    <xf numFmtId="9" fontId="32" fillId="5" borderId="61" xfId="1" applyNumberFormat="1" applyFont="1" applyFill="1" applyBorder="1" applyAlignment="1">
      <alignment horizontal="center" wrapText="1"/>
    </xf>
    <xf numFmtId="49" fontId="25" fillId="5" borderId="46" xfId="0" applyNumberFormat="1" applyFont="1" applyFill="1" applyBorder="1" applyAlignment="1">
      <alignment horizontal="left" vertical="center" wrapText="1"/>
    </xf>
    <xf numFmtId="49" fontId="25" fillId="5" borderId="47" xfId="0" applyNumberFormat="1" applyFont="1" applyFill="1" applyBorder="1" applyAlignment="1">
      <alignment horizontal="left" vertical="center" wrapText="1"/>
    </xf>
    <xf numFmtId="49" fontId="25" fillId="5" borderId="53" xfId="0" applyNumberFormat="1" applyFont="1" applyFill="1" applyBorder="1" applyAlignment="1">
      <alignment horizontal="left" vertical="center" wrapText="1"/>
    </xf>
    <xf numFmtId="165" fontId="32" fillId="5" borderId="57" xfId="1" applyNumberFormat="1" applyFont="1" applyFill="1" applyBorder="1" applyAlignment="1">
      <alignment horizontal="center" wrapText="1"/>
    </xf>
    <xf numFmtId="165" fontId="32" fillId="5" borderId="64" xfId="1" applyNumberFormat="1" applyFont="1" applyFill="1" applyBorder="1" applyAlignment="1">
      <alignment horizontal="center" vertical="center"/>
    </xf>
    <xf numFmtId="165" fontId="32" fillId="5" borderId="65" xfId="1" applyNumberFormat="1" applyFont="1" applyFill="1" applyBorder="1" applyAlignment="1">
      <alignment horizontal="center" vertical="center"/>
    </xf>
    <xf numFmtId="165" fontId="32" fillId="5" borderId="4" xfId="1" applyNumberFormat="1" applyFont="1" applyFill="1" applyBorder="1" applyProtection="1">
      <protection locked="0"/>
    </xf>
    <xf numFmtId="165" fontId="32" fillId="5" borderId="7" xfId="1" applyNumberFormat="1" applyFont="1" applyFill="1" applyBorder="1" applyProtection="1">
      <protection locked="0"/>
    </xf>
    <xf numFmtId="0" fontId="63" fillId="0" borderId="0" xfId="0" applyFont="1"/>
    <xf numFmtId="0" fontId="35" fillId="5" borderId="37" xfId="0" applyFont="1" applyFill="1" applyBorder="1"/>
    <xf numFmtId="0" fontId="62" fillId="0" borderId="0" xfId="0" applyFont="1" applyAlignment="1" applyProtection="1">
      <alignment horizontal="centerContinuous"/>
      <protection locked="0"/>
    </xf>
    <xf numFmtId="0" fontId="31" fillId="0" borderId="0" xfId="0" applyFont="1" applyAlignment="1" applyProtection="1">
      <alignment wrapText="1"/>
      <protection locked="0"/>
    </xf>
    <xf numFmtId="0" fontId="25" fillId="0" borderId="0" xfId="0" applyFont="1" applyAlignment="1" applyProtection="1">
      <alignment wrapText="1"/>
      <protection locked="0"/>
    </xf>
    <xf numFmtId="0" fontId="25" fillId="0" borderId="0" xfId="1" applyNumberFormat="1" applyFont="1" applyFill="1" applyBorder="1" applyAlignment="1">
      <alignment wrapText="1"/>
    </xf>
    <xf numFmtId="1" fontId="51" fillId="0" borderId="0" xfId="1" applyNumberFormat="1" applyFont="1" applyFill="1" applyBorder="1" applyAlignment="1">
      <alignment horizontal="center" vertical="center" wrapText="1"/>
    </xf>
    <xf numFmtId="0" fontId="25" fillId="0" borderId="0" xfId="1" applyNumberFormat="1" applyFont="1" applyFill="1" applyBorder="1" applyAlignment="1">
      <alignment vertical="center" wrapText="1"/>
    </xf>
    <xf numFmtId="9" fontId="53" fillId="0" borderId="0" xfId="2" applyFont="1" applyFill="1" applyBorder="1" applyAlignment="1">
      <alignment horizontal="center" vertical="center" wrapText="1"/>
    </xf>
    <xf numFmtId="0" fontId="52" fillId="0" borderId="0" xfId="1" applyNumberFormat="1" applyFont="1" applyFill="1" applyBorder="1" applyAlignment="1">
      <alignment vertical="center" wrapText="1"/>
    </xf>
    <xf numFmtId="9" fontId="54" fillId="0" borderId="0" xfId="1" applyNumberFormat="1" applyFont="1" applyFill="1" applyBorder="1" applyAlignment="1">
      <alignment horizontal="center" vertical="center" wrapText="1"/>
    </xf>
    <xf numFmtId="1" fontId="36" fillId="0" borderId="0" xfId="0" applyNumberFormat="1" applyFont="1" applyAlignment="1">
      <alignment horizontal="left" wrapText="1" indent="3"/>
    </xf>
    <xf numFmtId="9" fontId="32" fillId="0" borderId="0" xfId="2" applyFont="1" applyFill="1" applyBorder="1" applyAlignment="1">
      <alignment horizontal="center" wrapText="1"/>
    </xf>
    <xf numFmtId="1" fontId="31" fillId="0" borderId="0" xfId="0" applyNumberFormat="1" applyFont="1" applyAlignment="1">
      <alignment wrapText="1"/>
    </xf>
    <xf numFmtId="9" fontId="25" fillId="0" borderId="0" xfId="2" applyFont="1" applyFill="1" applyBorder="1" applyAlignment="1">
      <alignment horizontal="center" wrapText="1"/>
    </xf>
    <xf numFmtId="1" fontId="25" fillId="0" borderId="0" xfId="0" applyNumberFormat="1" applyFont="1" applyAlignment="1">
      <alignment wrapText="1"/>
    </xf>
    <xf numFmtId="9" fontId="32" fillId="0" borderId="0" xfId="1" applyNumberFormat="1" applyFont="1" applyFill="1" applyBorder="1" applyAlignment="1">
      <alignment horizontal="center" wrapText="1"/>
    </xf>
    <xf numFmtId="0" fontId="25" fillId="0" borderId="41" xfId="1" applyNumberFormat="1" applyFont="1" applyFill="1" applyBorder="1" applyAlignment="1">
      <alignment wrapText="1"/>
    </xf>
    <xf numFmtId="1" fontId="36" fillId="40" borderId="11" xfId="0" applyNumberFormat="1" applyFont="1" applyFill="1" applyBorder="1" applyAlignment="1">
      <alignment horizontal="left" wrapText="1" indent="3"/>
    </xf>
    <xf numFmtId="1" fontId="31" fillId="40" borderId="11" xfId="0" applyNumberFormat="1" applyFont="1" applyFill="1" applyBorder="1" applyAlignment="1">
      <alignment wrapText="1"/>
    </xf>
    <xf numFmtId="1" fontId="31" fillId="45" borderId="11" xfId="0" applyNumberFormat="1" applyFont="1" applyFill="1" applyBorder="1" applyAlignment="1">
      <alignment wrapText="1"/>
    </xf>
    <xf numFmtId="1" fontId="31" fillId="41" borderId="11" xfId="0" applyNumberFormat="1" applyFont="1" applyFill="1" applyBorder="1" applyAlignment="1">
      <alignment wrapText="1"/>
    </xf>
    <xf numFmtId="37" fontId="32" fillId="0" borderId="9" xfId="1" applyNumberFormat="1" applyFont="1" applyFill="1" applyBorder="1" applyAlignment="1" applyProtection="1">
      <alignment horizontal="center"/>
      <protection locked="0"/>
    </xf>
    <xf numFmtId="37" fontId="25" fillId="0" borderId="9" xfId="1" applyNumberFormat="1" applyFont="1" applyFill="1" applyBorder="1" applyAlignment="1" applyProtection="1">
      <alignment horizontal="center"/>
      <protection locked="0"/>
    </xf>
    <xf numFmtId="9" fontId="32" fillId="0" borderId="4" xfId="2" applyFont="1" applyFill="1" applyBorder="1" applyAlignment="1">
      <alignment horizontal="center" wrapText="1"/>
    </xf>
    <xf numFmtId="9" fontId="25" fillId="0" borderId="4" xfId="2" applyFont="1" applyFill="1" applyBorder="1" applyAlignment="1">
      <alignment horizontal="center" wrapText="1"/>
    </xf>
    <xf numFmtId="1" fontId="25" fillId="0" borderId="8" xfId="0" applyNumberFormat="1" applyFont="1" applyBorder="1" applyAlignment="1">
      <alignment wrapText="1"/>
    </xf>
    <xf numFmtId="9" fontId="32" fillId="0" borderId="26" xfId="1" applyNumberFormat="1" applyFont="1" applyFill="1" applyBorder="1" applyAlignment="1">
      <alignment horizontal="center" wrapText="1"/>
    </xf>
    <xf numFmtId="9" fontId="32" fillId="0" borderId="7" xfId="1" applyNumberFormat="1" applyFont="1" applyFill="1" applyBorder="1" applyAlignment="1">
      <alignment horizontal="center" wrapText="1"/>
    </xf>
    <xf numFmtId="0" fontId="61" fillId="47" borderId="66" xfId="0" applyFont="1" applyFill="1" applyBorder="1" applyAlignment="1">
      <alignment horizontal="centerContinuous"/>
    </xf>
    <xf numFmtId="0" fontId="32" fillId="49" borderId="67" xfId="0" applyFont="1" applyFill="1" applyBorder="1" applyAlignment="1">
      <alignment horizontal="centerContinuous"/>
    </xf>
    <xf numFmtId="0" fontId="61" fillId="46" borderId="68" xfId="0" applyFont="1" applyFill="1" applyBorder="1"/>
    <xf numFmtId="0" fontId="61" fillId="46" borderId="69" xfId="0" applyFont="1" applyFill="1" applyBorder="1"/>
    <xf numFmtId="0" fontId="65" fillId="47" borderId="66" xfId="0" applyFont="1" applyFill="1" applyBorder="1" applyAlignment="1">
      <alignment horizontal="centerContinuous"/>
    </xf>
    <xf numFmtId="0" fontId="64" fillId="49" borderId="70" xfId="0" applyFont="1" applyFill="1" applyBorder="1" applyAlignment="1">
      <alignment horizontal="centerContinuous"/>
    </xf>
    <xf numFmtId="0" fontId="64" fillId="49" borderId="67" xfId="0" applyFont="1" applyFill="1" applyBorder="1" applyAlignment="1">
      <alignment horizontal="centerContinuous"/>
    </xf>
    <xf numFmtId="0" fontId="61" fillId="46" borderId="71" xfId="0" applyFont="1" applyFill="1" applyBorder="1"/>
    <xf numFmtId="0" fontId="61" fillId="46" borderId="72" xfId="0" applyFont="1" applyFill="1" applyBorder="1" applyAlignment="1">
      <alignment wrapText="1"/>
    </xf>
    <xf numFmtId="0" fontId="60" fillId="46" borderId="36" xfId="0" applyFont="1" applyFill="1" applyBorder="1"/>
    <xf numFmtId="169" fontId="32" fillId="5" borderId="2" xfId="1" applyNumberFormat="1" applyFont="1" applyFill="1" applyBorder="1" applyAlignment="1">
      <alignment horizontal="center" wrapText="1"/>
    </xf>
    <xf numFmtId="1" fontId="32" fillId="5" borderId="59" xfId="1" applyNumberFormat="1" applyFont="1" applyFill="1" applyBorder="1" applyAlignment="1">
      <alignment horizontal="right" vertical="center" wrapText="1"/>
    </xf>
    <xf numFmtId="9" fontId="32" fillId="5" borderId="60" xfId="1" applyNumberFormat="1" applyFont="1" applyFill="1" applyBorder="1" applyAlignment="1">
      <alignment horizontal="right" wrapText="1"/>
    </xf>
    <xf numFmtId="37" fontId="32" fillId="0" borderId="62" xfId="1" applyNumberFormat="1" applyFont="1" applyBorder="1" applyAlignment="1" applyProtection="1">
      <alignment horizontal="right"/>
      <protection locked="0"/>
    </xf>
    <xf numFmtId="0" fontId="62" fillId="5" borderId="49" xfId="0" applyFont="1" applyFill="1" applyBorder="1" applyAlignment="1" applyProtection="1">
      <alignment horizontal="centerContinuous" vertical="top"/>
      <protection locked="0"/>
    </xf>
    <xf numFmtId="0" fontId="67" fillId="5" borderId="48" xfId="0" applyFont="1" applyFill="1" applyBorder="1" applyAlignment="1" applyProtection="1">
      <alignment horizontal="centerContinuous" vertical="top" wrapText="1"/>
      <protection locked="0"/>
    </xf>
    <xf numFmtId="0" fontId="40" fillId="3" borderId="44" xfId="0" applyFont="1" applyFill="1" applyBorder="1" applyAlignment="1">
      <alignment horizontal="centerContinuous"/>
    </xf>
    <xf numFmtId="0" fontId="39" fillId="3" borderId="67" xfId="0" applyFont="1" applyFill="1" applyBorder="1" applyAlignment="1">
      <alignment horizontal="centerContinuous"/>
    </xf>
    <xf numFmtId="0" fontId="30" fillId="5" borderId="77" xfId="0" applyFont="1" applyFill="1" applyBorder="1" applyAlignment="1">
      <alignment wrapText="1"/>
    </xf>
    <xf numFmtId="165" fontId="39" fillId="0" borderId="78" xfId="1" applyNumberFormat="1" applyFont="1" applyBorder="1" applyProtection="1">
      <protection locked="0"/>
    </xf>
    <xf numFmtId="0" fontId="9" fillId="5" borderId="79" xfId="0" applyFont="1" applyFill="1" applyBorder="1"/>
    <xf numFmtId="165" fontId="39" fillId="5" borderId="80" xfId="0" applyNumberFormat="1" applyFont="1" applyFill="1" applyBorder="1"/>
    <xf numFmtId="0" fontId="9" fillId="5" borderId="77" xfId="0" applyFont="1" applyFill="1" applyBorder="1"/>
    <xf numFmtId="2" fontId="39" fillId="5" borderId="81" xfId="0" applyNumberFormat="1" applyFont="1" applyFill="1" applyBorder="1"/>
    <xf numFmtId="165" fontId="39" fillId="5" borderId="82" xfId="0" applyNumberFormat="1" applyFont="1" applyFill="1" applyBorder="1"/>
    <xf numFmtId="0" fontId="30" fillId="5" borderId="83" xfId="0" applyFont="1" applyFill="1" applyBorder="1" applyAlignment="1">
      <alignment wrapText="1"/>
    </xf>
    <xf numFmtId="165" fontId="39" fillId="0" borderId="84" xfId="1" applyNumberFormat="1" applyFont="1" applyBorder="1" applyProtection="1">
      <protection locked="0"/>
    </xf>
    <xf numFmtId="2" fontId="39" fillId="5" borderId="26" xfId="0" applyNumberFormat="1" applyFont="1" applyFill="1" applyBorder="1"/>
    <xf numFmtId="0" fontId="9" fillId="5" borderId="8" xfId="0" applyFont="1" applyFill="1" applyBorder="1"/>
    <xf numFmtId="165" fontId="39" fillId="5" borderId="4" xfId="0" applyNumberFormat="1" applyFont="1" applyFill="1" applyBorder="1"/>
    <xf numFmtId="165" fontId="39" fillId="5" borderId="7" xfId="0" applyNumberFormat="1" applyFont="1" applyFill="1" applyBorder="1"/>
    <xf numFmtId="0" fontId="9" fillId="5" borderId="85" xfId="0" applyFont="1" applyFill="1" applyBorder="1"/>
    <xf numFmtId="0" fontId="39" fillId="5" borderId="86" xfId="0" applyFont="1" applyFill="1" applyBorder="1"/>
    <xf numFmtId="165" fontId="39" fillId="5" borderId="87" xfId="0" applyNumberFormat="1" applyFont="1" applyFill="1" applyBorder="1"/>
    <xf numFmtId="0" fontId="68" fillId="0" borderId="8" xfId="1" applyNumberFormat="1" applyFont="1" applyFill="1" applyBorder="1" applyAlignment="1">
      <alignment vertical="center" wrapText="1"/>
    </xf>
    <xf numFmtId="9" fontId="69" fillId="0" borderId="26" xfId="2" applyFont="1" applyFill="1" applyBorder="1" applyAlignment="1">
      <alignment horizontal="center" vertical="center" wrapText="1"/>
    </xf>
    <xf numFmtId="9" fontId="69" fillId="0" borderId="7" xfId="2" applyFont="1" applyFill="1" applyBorder="1" applyAlignment="1">
      <alignment horizontal="center" vertical="center" wrapText="1"/>
    </xf>
    <xf numFmtId="0" fontId="68" fillId="0" borderId="10" xfId="1" applyNumberFormat="1" applyFont="1" applyFill="1" applyBorder="1" applyAlignment="1">
      <alignment vertical="center" wrapText="1"/>
    </xf>
    <xf numFmtId="9" fontId="69" fillId="0" borderId="5" xfId="1" applyNumberFormat="1" applyFont="1" applyFill="1" applyBorder="1" applyAlignment="1">
      <alignment horizontal="center" vertical="center" wrapText="1"/>
    </xf>
    <xf numFmtId="9" fontId="69" fillId="0" borderId="9" xfId="1" applyNumberFormat="1" applyFont="1" applyFill="1" applyBorder="1" applyAlignment="1">
      <alignment horizontal="center" vertical="center" wrapText="1"/>
    </xf>
    <xf numFmtId="165" fontId="32" fillId="5" borderId="63" xfId="1" applyNumberFormat="1" applyFont="1" applyFill="1" applyBorder="1" applyAlignment="1">
      <alignment horizontal="right"/>
    </xf>
    <xf numFmtId="170" fontId="32" fillId="0" borderId="0" xfId="0" applyNumberFormat="1" applyFont="1" applyProtection="1">
      <protection locked="0"/>
    </xf>
    <xf numFmtId="165" fontId="32" fillId="0" borderId="0" xfId="0" applyNumberFormat="1" applyFont="1" applyProtection="1">
      <protection locked="0"/>
    </xf>
    <xf numFmtId="167" fontId="38" fillId="5" borderId="2" xfId="0" applyNumberFormat="1" applyFont="1" applyFill="1" applyBorder="1"/>
    <xf numFmtId="0" fontId="38" fillId="5" borderId="2" xfId="0" applyFont="1" applyFill="1" applyBorder="1" applyAlignment="1">
      <alignment wrapText="1"/>
    </xf>
    <xf numFmtId="167" fontId="37" fillId="5" borderId="2" xfId="0" applyNumberFormat="1" applyFont="1" applyFill="1" applyBorder="1"/>
    <xf numFmtId="0" fontId="72" fillId="3" borderId="0" xfId="0" applyFont="1" applyFill="1" applyAlignment="1">
      <alignment horizontal="centerContinuous"/>
    </xf>
    <xf numFmtId="167" fontId="38" fillId="5" borderId="10" xfId="0" applyNumberFormat="1" applyFont="1" applyFill="1" applyBorder="1"/>
    <xf numFmtId="0" fontId="38" fillId="5" borderId="9" xfId="0" applyFont="1" applyFill="1" applyBorder="1"/>
    <xf numFmtId="0" fontId="38" fillId="0" borderId="27" xfId="0" applyFont="1" applyBorder="1"/>
    <xf numFmtId="0" fontId="2" fillId="3" borderId="8" xfId="0" applyFont="1" applyFill="1" applyBorder="1" applyAlignment="1">
      <alignment horizontal="centerContinuous"/>
    </xf>
    <xf numFmtId="0" fontId="72" fillId="3" borderId="7" xfId="0" applyFont="1" applyFill="1" applyBorder="1" applyAlignment="1">
      <alignment horizontal="centerContinuous"/>
    </xf>
    <xf numFmtId="0" fontId="73" fillId="0" borderId="0" xfId="0" applyFont="1"/>
    <xf numFmtId="0" fontId="75" fillId="0" borderId="0" xfId="0" applyFont="1"/>
    <xf numFmtId="165" fontId="32" fillId="50" borderId="52" xfId="1" applyNumberFormat="1" applyFont="1" applyFill="1" applyBorder="1" applyAlignment="1">
      <alignment horizontal="center" wrapText="1"/>
    </xf>
    <xf numFmtId="43" fontId="0" fillId="0" borderId="0" xfId="0" applyNumberFormat="1"/>
    <xf numFmtId="171" fontId="0" fillId="0" borderId="0" xfId="0" applyNumberFormat="1"/>
    <xf numFmtId="0" fontId="50" fillId="0" borderId="73" xfId="0" applyFont="1" applyBorder="1" applyProtection="1">
      <protection locked="0"/>
    </xf>
    <xf numFmtId="0" fontId="50" fillId="0" borderId="10" xfId="0" applyFont="1" applyBorder="1" applyProtection="1">
      <protection locked="0"/>
    </xf>
    <xf numFmtId="0" fontId="50" fillId="48" borderId="10" xfId="0" applyFont="1" applyFill="1" applyBorder="1" applyProtection="1">
      <protection locked="0"/>
    </xf>
    <xf numFmtId="0" fontId="50" fillId="0" borderId="72" xfId="0" applyFont="1" applyBorder="1" applyProtection="1">
      <protection locked="0"/>
    </xf>
    <xf numFmtId="0" fontId="35" fillId="0" borderId="10" xfId="0" applyFont="1" applyBorder="1" applyProtection="1">
      <protection locked="0"/>
    </xf>
    <xf numFmtId="0" fontId="35" fillId="0" borderId="72" xfId="0" applyFont="1" applyBorder="1" applyProtection="1">
      <protection locked="0"/>
    </xf>
    <xf numFmtId="0" fontId="50" fillId="0" borderId="74" xfId="0" applyFont="1" applyBorder="1" applyProtection="1">
      <protection locked="0"/>
    </xf>
    <xf numFmtId="0" fontId="35" fillId="0" borderId="75" xfId="0" applyFont="1" applyBorder="1" applyProtection="1">
      <protection locked="0"/>
    </xf>
    <xf numFmtId="0" fontId="35" fillId="0" borderId="76" xfId="0" applyFont="1" applyBorder="1" applyProtection="1">
      <protection locked="0"/>
    </xf>
    <xf numFmtId="0" fontId="56" fillId="0" borderId="2" xfId="0" applyFont="1" applyBorder="1" applyProtection="1">
      <protection locked="0"/>
    </xf>
    <xf numFmtId="0" fontId="37" fillId="0" borderId="41" xfId="0" applyFont="1" applyBorder="1" applyProtection="1">
      <protection locked="0"/>
    </xf>
    <xf numFmtId="0" fontId="0" fillId="0" borderId="0" xfId="0" applyProtection="1">
      <protection locked="0"/>
    </xf>
    <xf numFmtId="0" fontId="38" fillId="0" borderId="0" xfId="0" applyFont="1" applyAlignment="1" applyProtection="1">
      <alignment readingOrder="1"/>
      <protection locked="0"/>
    </xf>
    <xf numFmtId="0" fontId="62" fillId="5" borderId="3" xfId="0" applyFont="1" applyFill="1" applyBorder="1" applyAlignment="1" applyProtection="1">
      <alignment horizontal="centerContinuous"/>
      <protection locked="0"/>
    </xf>
    <xf numFmtId="0" fontId="62" fillId="5" borderId="13" xfId="0" applyFont="1" applyFill="1" applyBorder="1" applyAlignment="1" applyProtection="1">
      <alignment horizontal="centerContinuous"/>
      <protection locked="0"/>
    </xf>
    <xf numFmtId="0" fontId="62" fillId="5" borderId="14" xfId="0" applyFont="1" applyFill="1" applyBorder="1" applyAlignment="1" applyProtection="1">
      <alignment horizontal="centerContinuous"/>
      <protection locked="0"/>
    </xf>
    <xf numFmtId="0" fontId="25" fillId="0" borderId="12" xfId="0" applyFont="1" applyBorder="1" applyAlignment="1" applyProtection="1">
      <alignment wrapText="1"/>
      <protection locked="0"/>
    </xf>
    <xf numFmtId="37" fontId="32" fillId="0" borderId="88" xfId="1" applyNumberFormat="1" applyFont="1" applyFill="1" applyBorder="1" applyAlignment="1" applyProtection="1">
      <alignment horizontal="center"/>
      <protection locked="0"/>
    </xf>
    <xf numFmtId="0" fontId="31" fillId="3" borderId="4" xfId="0" applyFont="1" applyFill="1" applyBorder="1" applyAlignment="1" applyProtection="1">
      <alignment wrapText="1"/>
      <protection locked="0"/>
    </xf>
    <xf numFmtId="0" fontId="31" fillId="3" borderId="89" xfId="0" applyFont="1" applyFill="1" applyBorder="1" applyAlignment="1">
      <alignment horizontal="center" wrapText="1"/>
    </xf>
    <xf numFmtId="0" fontId="31" fillId="3" borderId="79" xfId="0" applyFont="1" applyFill="1" applyBorder="1" applyAlignment="1">
      <alignment horizontal="center" wrapText="1"/>
    </xf>
    <xf numFmtId="2" fontId="39" fillId="0" borderId="2" xfId="0" applyNumberFormat="1" applyFont="1" applyBorder="1" applyAlignment="1" applyProtection="1">
      <alignment horizontal="left" vertical="center" wrapText="1"/>
      <protection locked="0"/>
    </xf>
    <xf numFmtId="0" fontId="39" fillId="0" borderId="2" xfId="0" applyFont="1" applyBorder="1" applyAlignment="1" applyProtection="1">
      <alignment wrapText="1"/>
      <protection locked="0"/>
    </xf>
    <xf numFmtId="0" fontId="25" fillId="4" borderId="54" xfId="0" applyFont="1" applyFill="1" applyBorder="1" applyAlignment="1" applyProtection="1">
      <alignment horizontal="left" vertical="center" wrapText="1"/>
      <protection locked="0"/>
    </xf>
    <xf numFmtId="0" fontId="25" fillId="4" borderId="41" xfId="0" applyFont="1" applyFill="1" applyBorder="1" applyAlignment="1" applyProtection="1">
      <alignment horizontal="left" vertical="center" wrapText="1"/>
      <protection locked="0"/>
    </xf>
    <xf numFmtId="0" fontId="25" fillId="5" borderId="90" xfId="1" applyNumberFormat="1" applyFont="1" applyFill="1" applyBorder="1" applyAlignment="1">
      <alignment wrapText="1"/>
    </xf>
    <xf numFmtId="0" fontId="31" fillId="3" borderId="26" xfId="0" applyFont="1" applyFill="1" applyBorder="1" applyAlignment="1">
      <alignment horizontal="center" wrapText="1"/>
    </xf>
    <xf numFmtId="0" fontId="31" fillId="3" borderId="59" xfId="0" applyFont="1" applyFill="1" applyBorder="1" applyAlignment="1">
      <alignment horizontal="center" wrapText="1"/>
    </xf>
    <xf numFmtId="49" fontId="36" fillId="3" borderId="5" xfId="0" applyNumberFormat="1" applyFont="1" applyFill="1" applyBorder="1" applyAlignment="1">
      <alignment horizontal="left" vertical="center" wrapText="1"/>
    </xf>
    <xf numFmtId="0" fontId="31" fillId="3" borderId="7" xfId="0" applyFont="1" applyFill="1" applyBorder="1"/>
    <xf numFmtId="0" fontId="31" fillId="3" borderId="4" xfId="0" applyFont="1" applyFill="1" applyBorder="1" applyAlignment="1">
      <alignment wrapText="1"/>
    </xf>
    <xf numFmtId="0" fontId="31" fillId="3" borderId="3" xfId="0" applyFont="1" applyFill="1" applyBorder="1" applyAlignment="1">
      <alignment horizontal="center" vertical="center" wrapText="1"/>
    </xf>
    <xf numFmtId="0" fontId="31" fillId="3" borderId="42" xfId="0" applyFont="1" applyFill="1" applyBorder="1" applyAlignment="1">
      <alignment horizontal="center" vertical="center" wrapText="1"/>
    </xf>
    <xf numFmtId="0" fontId="31" fillId="3" borderId="43" xfId="0" applyFont="1" applyFill="1" applyBorder="1" applyAlignment="1">
      <alignment horizontal="center" vertical="center" wrapText="1"/>
    </xf>
    <xf numFmtId="0" fontId="32" fillId="5" borderId="44" xfId="0" applyFont="1" applyFill="1" applyBorder="1" applyAlignment="1">
      <alignment horizontal="left"/>
    </xf>
    <xf numFmtId="165" fontId="32" fillId="5" borderId="44" xfId="1" applyNumberFormat="1" applyFont="1" applyFill="1" applyBorder="1" applyAlignment="1">
      <alignment horizontal="right"/>
    </xf>
    <xf numFmtId="165" fontId="32" fillId="5" borderId="37" xfId="1" applyNumberFormat="1" applyFont="1" applyFill="1" applyBorder="1" applyAlignment="1">
      <alignment horizontal="right"/>
    </xf>
    <xf numFmtId="0" fontId="32" fillId="5" borderId="45" xfId="0" applyFont="1" applyFill="1" applyBorder="1" applyAlignment="1">
      <alignment horizontal="left"/>
    </xf>
    <xf numFmtId="165" fontId="32" fillId="5" borderId="45" xfId="1" applyNumberFormat="1" applyFont="1" applyFill="1" applyBorder="1" applyAlignment="1">
      <alignment horizontal="right"/>
    </xf>
    <xf numFmtId="2" fontId="79" fillId="0" borderId="11" xfId="0" applyNumberFormat="1" applyFont="1" applyBorder="1" applyAlignment="1">
      <alignment horizontal="center" vertical="center" wrapText="1"/>
    </xf>
    <xf numFmtId="0" fontId="79" fillId="0" borderId="2" xfId="0" applyFont="1" applyBorder="1" applyAlignment="1">
      <alignment wrapText="1"/>
    </xf>
    <xf numFmtId="167" fontId="79" fillId="0" borderId="2" xfId="0" applyNumberFormat="1" applyFont="1" applyBorder="1" applyAlignment="1">
      <alignment wrapText="1"/>
    </xf>
    <xf numFmtId="167" fontId="79" fillId="0" borderId="4" xfId="0" applyNumberFormat="1" applyFont="1" applyBorder="1" applyAlignment="1">
      <alignment wrapText="1"/>
    </xf>
    <xf numFmtId="0" fontId="80" fillId="0" borderId="91" xfId="0" applyFont="1" applyBorder="1" applyAlignment="1" applyProtection="1">
      <alignment horizontal="left" vertical="top"/>
      <protection locked="0"/>
    </xf>
    <xf numFmtId="0" fontId="38" fillId="0" borderId="0" xfId="0" applyFont="1" applyAlignment="1" applyProtection="1">
      <alignment horizontal="left" wrapText="1" readingOrder="1"/>
      <protection locked="0"/>
    </xf>
    <xf numFmtId="0" fontId="38" fillId="0" borderId="0" xfId="0" applyFont="1" applyAlignment="1" applyProtection="1">
      <alignment horizontal="left" readingOrder="1"/>
      <protection locked="0"/>
    </xf>
    <xf numFmtId="0" fontId="33" fillId="43" borderId="0" xfId="0" applyFont="1" applyFill="1" applyAlignment="1">
      <alignment horizontal="left" vertical="center" wrapText="1"/>
    </xf>
    <xf numFmtId="0" fontId="71" fillId="0" borderId="0" xfId="0" applyFont="1" applyAlignment="1">
      <alignment horizontal="left" vertical="top" wrapText="1"/>
    </xf>
    <xf numFmtId="0" fontId="64" fillId="0" borderId="0" xfId="0" applyFont="1" applyAlignment="1">
      <alignment horizontal="left" vertical="top" wrapText="1"/>
    </xf>
  </cellXfs>
  <cellStyles count="5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4" xr:uid="{34E52C70-AEE5-4EFC-A3A5-FAAD7C4E3E91}"/>
    <cellStyle name="Comma 2 2" xfId="47" xr:uid="{D67E1BA6-5F51-42FF-9806-6EBF6F118ABC}"/>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53" builtinId="8"/>
    <cellStyle name="Input" xfId="11" builtinId="20" customBuiltin="1"/>
    <cellStyle name="Linked Cell" xfId="14" builtinId="24" customBuiltin="1"/>
    <cellStyle name="Neutral" xfId="10" builtinId="28" customBuiltin="1"/>
    <cellStyle name="Normal" xfId="0" builtinId="0"/>
    <cellStyle name="Normal 2" xfId="45" xr:uid="{FE370E0E-083E-48A5-98E3-C9B8E0F4469A}"/>
    <cellStyle name="Normal 3" xfId="46" xr:uid="{EED220C3-2F5B-4081-9A21-16527C445F7F}"/>
    <cellStyle name="Normal 3 2" xfId="49" xr:uid="{CE4947C2-61CB-4FB7-8552-37F37944D649}"/>
    <cellStyle name="Note" xfId="17" builtinId="10" customBuiltin="1"/>
    <cellStyle name="Output" xfId="12" builtinId="21" customBuiltin="1"/>
    <cellStyle name="Percent" xfId="2" builtinId="5"/>
    <cellStyle name="Percent 2" xfId="48" xr:uid="{484490F9-8553-4AF6-9E93-6191150EE075}"/>
    <cellStyle name="Table Header" xfId="50" xr:uid="{C037F461-851E-483D-8CA7-3FC7618C94E7}"/>
    <cellStyle name="Table Index" xfId="52" xr:uid="{00E69317-8663-4151-8A0C-1A21C24A9F27}"/>
    <cellStyle name="Table Sub-Header" xfId="51" xr:uid="{E779CFBE-F5B2-4286-94F9-F960223FF02A}"/>
    <cellStyle name="Title" xfId="3" builtinId="15" customBuiltin="1"/>
    <cellStyle name="Total" xfId="19" builtinId="25" customBuiltin="1"/>
    <cellStyle name="Warning Text" xfId="16" builtinId="11" customBuiltin="1"/>
  </cellStyles>
  <dxfs count="128">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name val="Arial"/>
      </font>
      <numFmt numFmtId="167" formatCode="0.0000"/>
      <border diagonalUp="0" diagonalDown="0">
        <left style="thin">
          <color indexed="64"/>
        </left>
        <right/>
        <top style="thin">
          <color indexed="64"/>
        </top>
        <bottom style="thin">
          <color indexed="64"/>
        </bottom>
        <vertical/>
        <horizontal/>
      </border>
    </dxf>
    <dxf>
      <font>
        <name val="Arial"/>
      </font>
      <numFmt numFmtId="167" formatCode="0.0000"/>
      <border diagonalUp="0" diagonalDown="0">
        <left style="thin">
          <color indexed="64"/>
        </left>
        <right style="thin">
          <color indexed="64"/>
        </right>
        <top style="thin">
          <color indexed="64"/>
        </top>
        <bottom style="thin">
          <color indexed="64"/>
        </bottom>
        <vertical/>
        <horizontal/>
      </border>
    </dxf>
    <dxf>
      <font>
        <name val="Arial"/>
      </font>
      <border diagonalUp="0" diagonalDown="0">
        <left style="thin">
          <color indexed="64"/>
        </left>
        <right style="thin">
          <color indexed="64"/>
        </right>
        <top style="thin">
          <color indexed="64"/>
        </top>
        <bottom style="thin">
          <color indexed="64"/>
        </bottom>
        <vertical/>
        <horizontal/>
      </border>
    </dxf>
    <dxf>
      <font>
        <name val="Arial"/>
      </font>
      <numFmt numFmtId="2" formatCode="0.0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name val="Arial"/>
      </font>
    </dxf>
    <dxf>
      <font>
        <b val="0"/>
        <i val="0"/>
        <strike val="0"/>
        <condense val="0"/>
        <extend val="0"/>
        <outline val="0"/>
        <shadow val="0"/>
        <u val="none"/>
        <vertAlign val="baseline"/>
        <sz val="11"/>
        <color theme="0"/>
        <name val="Arial"/>
        <scheme val="minor"/>
      </font>
      <fill>
        <patternFill patternType="solid">
          <fgColor indexed="64"/>
          <bgColor theme="1"/>
        </patternFill>
      </fill>
      <alignment horizontal="general" vertical="bottom"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2" formatCode="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6" tint="0.79998168889431442"/>
        </patternFill>
      </fill>
    </dxf>
    <dxf>
      <font>
        <b val="0"/>
        <i val="0"/>
        <strike val="0"/>
        <condense val="0"/>
        <extend val="0"/>
        <outline val="0"/>
        <shadow val="0"/>
        <u val="none"/>
        <vertAlign val="baseline"/>
        <sz val="10"/>
        <color theme="0"/>
        <name val="Arial"/>
        <family val="2"/>
        <scheme val="none"/>
      </font>
      <fill>
        <patternFill patternType="solid">
          <fgColor indexed="64"/>
          <bgColor theme="1"/>
        </patternFill>
      </fill>
      <alignment horizontal="general" vertical="bottom" textRotation="0" wrapText="1" indent="0" justifyLastLine="0" shrinkToFit="0" readingOrder="0"/>
    </dxf>
    <dxf>
      <font>
        <strike val="0"/>
        <outline val="0"/>
        <shadow val="0"/>
        <u val="none"/>
        <vertAlign val="baseline"/>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2" formatCode="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border>
        <left style="thin">
          <color rgb="FF000000"/>
        </left>
        <right style="thin">
          <color rgb="FF000000"/>
        </right>
        <top style="thin">
          <color rgb="FF000000"/>
        </top>
        <bottom style="thin">
          <color rgb="FF000000"/>
        </bottom>
      </border>
    </dxf>
    <dxf>
      <font>
        <strike val="0"/>
        <outline val="0"/>
        <shadow val="0"/>
        <u val="none"/>
        <vertAlign val="baseline"/>
        <name val="Arial"/>
        <family val="2"/>
        <scheme val="none"/>
      </font>
      <fill>
        <patternFill patternType="solid">
          <fgColor indexed="64"/>
          <bgColor theme="6" tint="0.79998168889431442"/>
        </patternFill>
      </fill>
    </dxf>
    <dxf>
      <font>
        <b val="0"/>
        <i val="0"/>
        <strike val="0"/>
        <condense val="0"/>
        <extend val="0"/>
        <outline val="0"/>
        <shadow val="0"/>
        <u val="none"/>
        <vertAlign val="baseline"/>
        <sz val="10"/>
        <color theme="0"/>
        <name val="Arial"/>
        <family val="2"/>
        <scheme val="none"/>
      </font>
      <fill>
        <patternFill patternType="solid">
          <fgColor indexed="64"/>
          <bgColor theme="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indexed="64"/>
          <bgColor theme="6" tint="0.79998168889431442"/>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theme="6" tint="0.79998168889431442"/>
        </patternFill>
      </fill>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2"/>
        <color rgb="FF000000"/>
        <name val="Arial"/>
        <family val="2"/>
        <scheme val="none"/>
      </font>
      <fill>
        <patternFill patternType="solid">
          <fgColor indexed="64"/>
          <bgColor theme="6" tint="0.79998168889431442"/>
        </patternFill>
      </fill>
    </dxf>
    <dxf>
      <font>
        <b/>
        <i val="0"/>
        <strike val="0"/>
        <condense val="0"/>
        <extend val="0"/>
        <outline val="0"/>
        <shadow val="0"/>
        <u val="none"/>
        <vertAlign val="baseline"/>
        <sz val="12"/>
        <color rgb="FFFFFFFF"/>
        <name val="Arial"/>
        <family val="2"/>
        <scheme val="none"/>
      </font>
      <fill>
        <patternFill patternType="solid">
          <fgColor rgb="FF000000"/>
          <bgColor rgb="FF000000"/>
        </patternFill>
      </fill>
    </dxf>
    <dxf>
      <font>
        <b val="0"/>
        <i val="0"/>
        <strike val="0"/>
        <condense val="0"/>
        <extend val="0"/>
        <outline val="0"/>
        <shadow val="0"/>
        <u val="none"/>
        <vertAlign val="baseline"/>
        <sz val="12"/>
        <color rgb="FF000000"/>
        <name val="Arial"/>
        <family val="2"/>
        <scheme val="none"/>
      </font>
      <border diagonalUp="0" diagonalDown="0">
        <left/>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border diagonalUp="0" diagonalDown="0">
        <left/>
        <right style="thin">
          <color indexed="64"/>
        </right>
        <top/>
        <bottom style="thin">
          <color indexed="64"/>
        </bottom>
        <vertical/>
        <horizontal/>
      </border>
      <protection locked="0" hidden="0"/>
    </dxf>
    <dxf>
      <border outline="0">
        <left style="thin">
          <color indexed="64"/>
        </left>
        <right style="thin">
          <color indexed="64"/>
        </right>
        <bottom style="thin">
          <color indexed="64"/>
        </bottom>
      </border>
    </dxf>
    <dxf>
      <font>
        <b val="0"/>
        <i val="0"/>
        <strike val="0"/>
        <condense val="0"/>
        <extend val="0"/>
        <outline val="0"/>
        <shadow val="0"/>
        <u val="none"/>
        <vertAlign val="baseline"/>
        <sz val="12"/>
        <color rgb="FF000000"/>
        <name val="Arial"/>
        <family val="2"/>
        <scheme val="none"/>
      </font>
      <protection locked="0" hidden="0"/>
    </dxf>
    <dxf>
      <border outline="0">
        <bottom style="thin">
          <color indexed="64"/>
        </bottom>
      </border>
    </dxf>
    <dxf>
      <font>
        <b/>
        <i val="0"/>
        <strike val="0"/>
        <condense val="0"/>
        <extend val="0"/>
        <outline val="0"/>
        <shadow val="0"/>
        <u val="none"/>
        <vertAlign val="baseline"/>
        <sz val="12"/>
        <color rgb="FFFFFFFF"/>
        <name val="Arial"/>
        <family val="2"/>
        <scheme val="none"/>
      </font>
      <fill>
        <patternFill patternType="solid">
          <fgColor rgb="FF000000"/>
          <bgColor rgb="FF000000"/>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bottom style="thin">
          <color indexed="64"/>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0"/>
        <name val="Arial"/>
        <family val="2"/>
        <scheme val="none"/>
      </font>
      <numFmt numFmtId="1" formatCode="0"/>
      <fill>
        <patternFill patternType="solid">
          <fgColor indexed="64"/>
          <bgColor rgb="FFAF5308"/>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top style="thin">
          <color indexed="64"/>
        </top>
        <bottom style="thin">
          <color indexed="64"/>
        </bottom>
      </border>
      <protection locked="0" hidden="0"/>
    </dxf>
    <dxf>
      <border outline="0">
        <left style="medium">
          <color rgb="FF000000"/>
        </left>
        <right style="medium">
          <color rgb="FF000000"/>
        </right>
        <bottom style="medium">
          <color rgb="FF000000"/>
        </bottom>
      </border>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border outline="0">
        <top style="thin">
          <color indexed="64"/>
        </top>
      </border>
    </dxf>
    <dxf>
      <border outline="0">
        <top style="medium">
          <color indexed="64"/>
        </top>
      </border>
    </dxf>
    <dxf>
      <font>
        <strike val="0"/>
        <outline val="0"/>
        <shadow val="0"/>
        <name val="Arial"/>
        <family val="2"/>
        <scheme val="none"/>
      </font>
      <fill>
        <patternFill patternType="solid">
          <fgColor indexed="64"/>
          <bgColor theme="6" tint="0.79998168889431442"/>
        </patternFill>
      </fill>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7" formatCode="0.0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7" formatCode="0.0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8" formatCode="0.000;\-0.0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border outline="0">
        <right style="thin">
          <color indexed="64"/>
        </right>
        <bottom style="thin">
          <color indexed="64"/>
        </bottom>
      </border>
    </dxf>
    <dxf>
      <font>
        <b val="0"/>
        <i val="0"/>
        <strike val="0"/>
        <condense val="0"/>
        <extend val="0"/>
        <outline val="0"/>
        <shadow val="0"/>
        <u val="none"/>
        <vertAlign val="baseline"/>
        <sz val="12"/>
        <color theme="1"/>
        <name val="Arial"/>
        <family val="2"/>
        <scheme val="none"/>
      </font>
      <numFmt numFmtId="30" formatCode="@"/>
      <protection locked="0" hidden="0"/>
    </dxf>
    <dxf>
      <font>
        <b val="0"/>
        <i val="0"/>
        <strike val="0"/>
        <condense val="0"/>
        <extend val="0"/>
        <outline val="0"/>
        <shadow val="0"/>
        <u val="none"/>
        <vertAlign val="baseline"/>
        <sz val="12"/>
        <color theme="0"/>
        <name val="Arial"/>
        <family val="2"/>
        <scheme val="none"/>
      </font>
      <numFmt numFmtId="30" formatCode="@"/>
      <fill>
        <patternFill patternType="solid">
          <fgColor indexed="64"/>
          <bgColor theme="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0"/>
        <name val="Arial"/>
        <family val="2"/>
        <scheme val="none"/>
      </font>
      <fill>
        <patternFill patternType="solid">
          <fgColor indexed="64"/>
          <bgColor theme="1"/>
        </patternFill>
      </fill>
      <border diagonalUp="0" diagonalDown="0" outline="0">
        <left style="thin">
          <color indexed="64"/>
        </left>
        <right/>
        <top/>
        <bottom/>
      </border>
    </dxf>
    <dxf>
      <border outline="0">
        <top style="thin">
          <color indexed="64"/>
        </top>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8BC38731-2AB1-469C-B730-6EEE33EC02FA}">
      <tableStyleElement type="wholeTable" dxfId="127"/>
      <tableStyleElement type="headerRow" dxfId="126"/>
    </tableStyle>
  </tableStyles>
  <colors>
    <mruColors>
      <color rgb="FFAF5308"/>
      <color rgb="FF0E1867"/>
      <color rgb="FF595959"/>
      <color rgb="FFCC6600"/>
      <color rgb="FF0E3C67"/>
      <color rgb="FFD766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4B8DC65-3E43-4364-95F6-76F86C2121B3}" name="PSDIntro" displayName="PSDIntro" ref="A6:B14" headerRowCount="0" totalsRowShown="0" tableBorderDxfId="125">
  <tableColumns count="2">
    <tableColumn id="1" xr3:uid="{45DB7933-E7AF-404C-8C30-7B56194C02A8}" name="Column1" headerRowDxfId="124" dataDxfId="123"/>
    <tableColumn id="2" xr3:uid="{C8FBA1EB-1308-4227-96F6-E0AF6E7BD4EB}" name="Column2" headerRowDxfId="122" dataDxfId="12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11854C-7358-4647-BA26-452E9DC1E498}" name="ProcurementAllocationData" displayName="ProcurementAllocationData" ref="A27:AB601" totalsRowShown="0" headerRowDxfId="120" dataDxfId="119" tableBorderDxfId="118" dataCellStyle="Comma">
  <autoFilter ref="A27:AB601" xr:uid="{C311854C-7358-4647-BA26-452E9DC1E49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E70E61DE-0312-48CD-9726-9C54DAD440D7}" name="Facility Name" dataDxfId="117"/>
    <tableColumn id="2" xr3:uid="{A4F4E9A1-5842-43A4-8849-E9B2B07562B9}" name="Fuel Type" dataDxfId="116"/>
    <tableColumn id="3" xr3:uid="{615B5F26-12F0-4001-9D4D-6EB15804798F}" name="State or Province" dataDxfId="115"/>
    <tableColumn id="4" xr3:uid="{97D0D0E4-0BB8-4B5B-8A3C-8F8DC13CA240}" name="WREGIS ID of REC Source" dataDxfId="114"/>
    <tableColumn id="5" xr3:uid="{819CA1D1-D655-4AE2-8D6D-3BBE2524043C}" name="RPS ID of REC Source" dataDxfId="113"/>
    <tableColumn id="6" xr3:uid="{8DAF26EC-4BCA-42BB-B9F6-1880A38BFC41}" name="EIA ID of Delivered Energy" dataDxfId="112"/>
    <tableColumn id="7" xr3:uid="{1207BE9F-6B74-4F81-AD3C-C30200D9F21B}" name="Loss Factor" dataDxfId="111">
      <calculatedColumnFormula>IF(C28="CA",Default_in_state_loss_factor,Default_out_of_state_loss_factor)</calculatedColumnFormula>
    </tableColumn>
    <tableColumn id="8" xr3:uid="{A445D2DE-6DB0-4DB4-A577-1B4C0EAAEFF0}" name="Gross MWhs Procured" dataDxfId="110" dataCellStyle="Comma"/>
    <tableColumn id="9" xr3:uid="{01E2217C-D03F-46A4-9374-F71956DFA9EC}" name="Specified Resales MWhs" dataDxfId="109" dataCellStyle="Comma"/>
    <tableColumn id="10" xr3:uid="{EC404F43-39E3-43F0-9FBD-5ACB9C32D461}" name="Net MWhs Procured" dataDxfId="108" dataCellStyle="Comma">
      <calculatedColumnFormula>H28-I28</calculatedColumnFormula>
    </tableColumn>
    <tableColumn id="11" xr3:uid="{96901875-BE74-4E9A-8CA1-76AEC3D781A0}" name="Firmed &amp; Shaped Resource?" dataDxfId="107"/>
    <tableColumn id="12" xr3:uid="{0106D58A-A74D-49D9-9BBF-22F2F1C62470}" name="Eligible for Firmed &amp; Shaped Grandfathering?" dataDxfId="106"/>
    <tableColumn id="26" xr3:uid="{022AB8E8-416D-4A6A-A95A-F7E24D519954}" name="Specified Losses Covered by Seller?" dataDxfId="105"/>
    <tableColumn id="13" xr3:uid="{37F5A76B-7830-436C-AB19-0E9B3A6098F6}" name="Total EF _x000a_(MT CO2e/MWh)" dataDxfId="104">
      <calculatedColumnFormula>VLOOKUP(F28,'GHG Emissions Factors'!$B$2:$C$4000,2,FALSE)</calculatedColumnFormula>
    </tableColumn>
    <tableColumn id="14" xr3:uid="{5D210F25-BF53-45E4-9FD8-2A9D4BB1161B}" name="Total GHGs " dataDxfId="103" dataCellStyle="Comma">
      <calculatedColumnFormula>N28*J28</calculatedColumnFormula>
    </tableColumn>
    <tableColumn id="15" xr3:uid="{2E3C1300-FFEC-4F8A-A318-24794DD34DE8}" name="PCL EF_x000a_(MT CO2e/MWh)" dataDxfId="102">
      <calculatedColumnFormula>IF(L28="yes", 0, _xlfn.XLOOKUP(F28, 'GHG Emissions Factors'!$B$2:$B$4000, 'GHG Emissions Factors'!$D$2:$D$4000, 0))</calculatedColumnFormula>
    </tableColumn>
    <tableColumn id="16" xr3:uid="{F2ACFED3-A9B1-4474-8B36-D05186D084B2}" name="Deep Green" dataDxfId="101" dataCellStyle="Comma"/>
    <tableColumn id="17" xr3:uid="{0894422A-D834-47F2-A42F-47BCB68C3861}" name="LocalSol" dataDxfId="100" dataCellStyle="Comma"/>
    <tableColumn id="18" xr3:uid="{32BF9AD8-D21F-4053-AF5E-5BFB21D1EEFC}" name="LightGreen" dataDxfId="99" dataCellStyle="Comma">
      <calculatedColumnFormula>ProcurementAllocationData[[#This Row],[Net MWhs Procured]]-(ProcurementAllocationData[[#This Row],[Deep Green]]+ProcurementAllocationData[[#This Row],[LocalSol]]+ProcurementAllocationData[[#This Row],[GreenAccess]])</calculatedColumnFormula>
    </tableColumn>
    <tableColumn id="19" xr3:uid="{E63AD483-5AF6-4D45-BEA4-201E4EDC3D00}" name="GreenAccess" dataDxfId="98" dataCellStyle="Comma"/>
    <tableColumn id="20" xr3:uid="{BCC0692D-A1C9-4E03-8152-1136F6FCD8E4}" name="Electricity Portfolio Name 5" dataDxfId="97" dataCellStyle="Comma"/>
    <tableColumn id="21" xr3:uid="{30054B14-15B4-47CC-AFDD-6AE9D720713A}" name="Electricity Portfolio Name 6" dataDxfId="96" dataCellStyle="Comma"/>
    <tableColumn id="22" xr3:uid="{FF8CE472-9523-46B0-8D61-6795BF21AF34}" name="Other End Uses" dataDxfId="95" dataCellStyle="Comma"/>
    <tableColumn id="23" xr3:uid="{8B0F7AE9-B008-4C96-9C13-E7B5062F5DD4}" name="Specified Procurement Covering Losses" dataDxfId="94" dataCellStyle="Comma"/>
    <tableColumn id="24" xr3:uid="{C6868256-C3E1-41E1-B463-530F2F50335A}" name="Total Specified Losses" dataDxfId="93" dataCellStyle="Comma">
      <calculatedColumnFormula>ROUND((SUM(Q28:X28)*G28),0)</calculatedColumnFormula>
    </tableColumn>
    <tableColumn id="28" xr3:uid="{101F16DE-9B70-4761-97FD-46BDBF8D6CDD}" name="Specified Losses Covered by Seller" dataDxfId="92" dataCellStyle="Comma">
      <calculatedColumnFormula>IF(M28="Yes",Y28,0)</calculatedColumnFormula>
    </tableColumn>
    <tableColumn id="29" xr3:uid="{5E719EDA-5018-4058-9C4D-1B8C78CC5D37}" name="Remaining Specified Losses to Cover" dataDxfId="91" dataCellStyle="Comma">
      <calculatedColumnFormula>Y28-Z28</calculatedColumnFormula>
    </tableColumn>
    <tableColumn id="25" xr3:uid="{B799D1BB-0FA0-441C-8F8E-6F39E51D0203}" name="Remainder/Oversupply" dataDxfId="90" dataCellStyle="Comma">
      <calculatedColumnFormula>J28-(SUM(Q28:X28))</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54D783E-42BF-4111-96ED-F7A948E19E4D}" name="Oversupply" displayName="Oversupply" ref="AN27:AR601" totalsRowShown="0" headerRowDxfId="89" dataDxfId="87" headerRowBorderDxfId="88" tableBorderDxfId="86" totalsRowBorderDxfId="85">
  <autoFilter ref="AN27:AR601" xr:uid="{054D783E-42BF-4111-96ED-F7A948E19E4D}">
    <filterColumn colId="0" hiddenButton="1"/>
    <filterColumn colId="1" hiddenButton="1"/>
    <filterColumn colId="2" hiddenButton="1"/>
    <filterColumn colId="3" hiddenButton="1"/>
    <filterColumn colId="4" hiddenButton="1"/>
  </autoFilter>
  <tableColumns count="5">
    <tableColumn id="1" xr3:uid="{28FDD6AC-26BC-4BF1-ACEE-BD99ACA8B133}" name="Facility Name" dataDxfId="84">
      <calculatedColumnFormula>IF(AB28&gt;0,A28,"-")</calculatedColumnFormula>
    </tableColumn>
    <tableColumn id="2" xr3:uid="{D2B34FD2-0E2C-4D98-A902-334BA59EED64}" name="Fuel Type" dataDxfId="83">
      <calculatedColumnFormula>IF(AB28&gt;0,B28,"-")</calculatedColumnFormula>
    </tableColumn>
    <tableColumn id="3" xr3:uid="{2BE163BF-FCFB-4F82-9E5A-32C40815C88F}" name="Net Procurement" dataDxfId="82" dataCellStyle="Comma">
      <calculatedColumnFormula>IF(AB28&gt;0,AB28,0)</calculatedColumnFormula>
    </tableColumn>
    <tableColumn id="4" xr3:uid="{58815277-2343-472B-839F-C18FD1335AAE}" name="Oversupply Losses" dataDxfId="81" dataCellStyle="Comma">
      <calculatedColumnFormula>AP28*G28</calculatedColumnFormula>
    </tableColumn>
    <tableColumn id="5" xr3:uid="{E3D6A811-E34F-4F59-87C2-2D7E00599685}" name="Annual PCL GHGs (MT CO2e)" dataDxfId="80" dataCellStyle="Comma">
      <calculatedColumnFormula>IF(ISNUMBER(AP28),AP28*N28,0)</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EFAFF5-C736-4A08-AABC-65B2D2B372CE}" name="PCLData" displayName="PCLData" ref="A3:H20" headerRowCount="0" totalsRowShown="0" headerRowDxfId="79" dataDxfId="78" tableBorderDxfId="77" headerRowCellStyle="Comma" dataCellStyle="Percent">
  <tableColumns count="8">
    <tableColumn id="1" xr3:uid="{F7374A95-0D78-451C-BD5F-3A7159632945}" name="Column1" headerRowDxfId="76" dataDxfId="75"/>
    <tableColumn id="2" xr3:uid="{4517F8FC-9088-45CB-AD29-3D065288D77F}" name="Column2" headerRowDxfId="74" dataDxfId="73" headerRowCellStyle="Comma" dataCellStyle="Percent"/>
    <tableColumn id="3" xr3:uid="{64AF85F7-007C-430E-8828-F3F5434F0A62}" name="Column3" headerRowDxfId="72" dataDxfId="71" headerRowCellStyle="Comma" dataCellStyle="Percent"/>
    <tableColumn id="4" xr3:uid="{F5DAC6FA-9EA5-473B-B160-FED1A48408CF}" name="Column4" headerRowDxfId="70" dataDxfId="69" headerRowCellStyle="Comma" dataCellStyle="Percent"/>
    <tableColumn id="5" xr3:uid="{3B30B359-A170-4E2F-ABB5-0AF6E0578028}" name="Column5" headerRowDxfId="68" dataDxfId="67" headerRowCellStyle="Comma" dataCellStyle="Percent"/>
    <tableColumn id="6" xr3:uid="{515B6120-5930-4229-B83F-BB20A8994BED}" name="Column6" headerRowDxfId="66" dataDxfId="65" headerRowCellStyle="Comma" dataCellStyle="Percent"/>
    <tableColumn id="7" xr3:uid="{AFC64F36-5145-407B-931E-6A35FA0AFE6E}" name="Column7" headerRowDxfId="64" dataDxfId="63" headerRowCellStyle="Comma" dataCellStyle="Percent"/>
    <tableColumn id="8" xr3:uid="{54B3FEEA-9F56-43C5-BFBA-3A92614AC0DB}" name="Column8" headerRowDxfId="62" dataDxfId="61" headerRowCellStyle="Comma" dataCellStyle="Percent"/>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E5334D-867A-42FF-9A49-AE467BA19578}" name="UnbundledRECs" displayName="UnbundledRECs" ref="A12:F308" totalsRowShown="0" headerRowDxfId="60" dataDxfId="58" headerRowBorderDxfId="59" tableBorderDxfId="57">
  <autoFilter ref="A12:F308" xr:uid="{15E5334D-867A-42FF-9A49-AE467BA19578}">
    <filterColumn colId="0" hiddenButton="1"/>
    <filterColumn colId="1" hiddenButton="1"/>
    <filterColumn colId="2" hiddenButton="1"/>
    <filterColumn colId="3" hiddenButton="1"/>
    <filterColumn colId="4" hiddenButton="1"/>
    <filterColumn colId="5" hiddenButton="1"/>
  </autoFilter>
  <tableColumns count="6">
    <tableColumn id="1" xr3:uid="{F043485F-1172-4169-BBB0-6420E0247BFC}" name="Retail Portfolio" dataDxfId="56"/>
    <tableColumn id="2" xr3:uid="{FCFCC95D-3F38-4231-BC03-F9EB8DF5FF9A}" name="Facility Name " dataDxfId="55"/>
    <tableColumn id="3" xr3:uid="{046F0972-8C8D-4849-9B03-A5CA882E5C8B}" name="Fuel Type" dataDxfId="54"/>
    <tableColumn id="4" xr3:uid="{34A4428E-3ADD-4F46-9AF3-34E538F6B882}" name="State or Province" dataDxfId="53"/>
    <tableColumn id="5" xr3:uid="{10C49608-6321-45FB-B79D-4B5F1D4CDE99}" name="RPS ID" dataDxfId="52"/>
    <tableColumn id="6" xr3:uid="{61A50668-F795-4F55-B174-CB3AC19E11FF}" name="Total Retired (in MWh)" dataDxfId="51"/>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439098-0687-41E8-9919-0D8D8CEF4BFD}" name="Table2" displayName="Table2" ref="A4:B10" totalsRowShown="0" headerRowDxfId="50" dataDxfId="49" tableBorderDxfId="48">
  <autoFilter ref="A4:B10" xr:uid="{39439098-0687-41E8-9919-0D8D8CEF4BFD}">
    <filterColumn colId="0" hiddenButton="1"/>
    <filterColumn colId="1" hiddenButton="1"/>
  </autoFilter>
  <tableColumns count="2">
    <tableColumn id="1" xr3:uid="{0E41BC29-C0E2-4447-BED4-FB5885712A83}" name="Retail Portfolio" dataDxfId="47"/>
    <tableColumn id="2" xr3:uid="{EEB60023-D8EB-4566-83AC-96C871A30D28}" name="Total Retired (in MWh)" dataDxfId="46">
      <calculatedColumnFormula>SUMIFS($F$13:$F$308,$A$13:$A$308,$A5)</calculatedColumnFormula>
    </tableColum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62B53B-901E-44F2-910B-3157DCE5A56C}" name="BPACalculator" displayName="BPACalculator" ref="A6:C17" totalsRowShown="0" headerRowDxfId="45" dataDxfId="44" tableBorderDxfId="43">
  <autoFilter ref="A6:C17" xr:uid="{FC62B53B-901E-44F2-910B-3157DCE5A56C}">
    <filterColumn colId="0" hiddenButton="1"/>
    <filterColumn colId="1" hiddenButton="1"/>
    <filterColumn colId="2" hiddenButton="1"/>
  </autoFilter>
  <tableColumns count="3">
    <tableColumn id="3" xr3:uid="{0F4B4BA5-4707-403C-9D82-E697E1492753}" name="Fuel Type" dataDxfId="42"/>
    <tableColumn id="4" xr3:uid="{0DDB35E0-D8C7-4C2E-8643-5A5533A79819}" name="Resource Mix Factors" dataDxfId="41"/>
    <tableColumn id="5" xr3:uid="{19428443-65FF-457E-8CEE-214F36DEB1C0}" name="Resource-Specific Procurements from BPA" dataDxfId="40">
      <calculatedColumnFormula>$B$5*B7</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E3B3F86-D66F-4747-AE78-BE159EED138D}" name="TacomeCalculator" displayName="TacomeCalculator" ref="A20:C31" totalsRowShown="0" headerRowDxfId="39" dataDxfId="38">
  <autoFilter ref="A20:C31" xr:uid="{2E3B3F86-D66F-4747-AE78-BE159EED138D}">
    <filterColumn colId="0" hiddenButton="1"/>
    <filterColumn colId="1" hiddenButton="1"/>
    <filterColumn colId="2" hiddenButton="1"/>
  </autoFilter>
  <tableColumns count="3">
    <tableColumn id="3" xr3:uid="{A0D2DFF7-0273-4BFF-8109-38F17F64A671}" name="Fuel Type" dataDxfId="37"/>
    <tableColumn id="4" xr3:uid="{110A7D07-C319-48FC-ACA5-640C88D99733}" name="Resource Mix Factors" dataDxfId="36"/>
    <tableColumn id="5" xr3:uid="{79ABFA05-B5AB-4699-B7A1-31C6C3A66B00}" name="Resource-Specific Procurements from Tacoma Power" dataDxfId="35">
      <calculatedColumnFormula>$B$19*B21</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3A9ADED-1A17-4E2F-96AE-4056D7BDBEC2}" name="GHGEF" displayName="GHGEF" ref="A1:D3264" totalsRowShown="0" headerRowDxfId="34" dataDxfId="33" tableBorderDxfId="32">
  <autoFilter ref="A1:D3264" xr:uid="{23A9ADED-1A17-4E2F-96AE-4056D7BDBEC2}">
    <filterColumn colId="0" hiddenButton="1"/>
    <filterColumn colId="1" hiddenButton="1"/>
    <filterColumn colId="2" hiddenButton="1"/>
    <filterColumn colId="3" hiddenButton="1"/>
  </autoFilter>
  <tableColumns count="4">
    <tableColumn id="1" xr3:uid="{ECCD3ED5-3D86-4884-AA71-95D0C1647817}" name="Facility Name" dataDxfId="31"/>
    <tableColumn id="2" xr3:uid="{51BB8C4F-6B73-4D84-A3DC-6D54D2B29795}" name="EIA ID" dataDxfId="30"/>
    <tableColumn id="3" xr3:uid="{1D974CC7-12D0-4EDC-98E5-4775F224FF11}" name="Total EFs (MT CO2e/MWh" dataDxfId="29"/>
    <tableColumn id="4" xr3:uid="{6CD651C3-78E6-487A-AF49-BD1B76B6ECC2}" name="EFs for PCL Disclosure (MT CO2e/MWh" dataDxfId="28"/>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ca.gov/about/divisions-and-offices/chief-counsels-office" TargetMode="External"/><Relationship Id="rId1" Type="http://schemas.openxmlformats.org/officeDocument/2006/relationships/hyperlink" Target="https://www.energy.ca.gov/about/divisions-and-offices/chief-counsels-office"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hyperlink" Target="../../../../../atwilling/AppData/Local/Microsoft/Olk/Attachments/ooa-d1ef23e7-2e9b-4a16-b710-5d0141696538/AppData/Local/Microsoft/AppData/Local/Microsoft/Windows/INetCache/Content.Outlook/sd" TargetMode="External"/><Relationship Id="rId1" Type="http://schemas.openxmlformats.org/officeDocument/2006/relationships/hyperlink" Target="https://www.energy.ca.gov/pcl"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1827D-FB9C-4A59-9C09-0E562A7A08AF}">
  <sheetPr>
    <pageSetUpPr fitToPage="1"/>
  </sheetPr>
  <dimension ref="A1:J19"/>
  <sheetViews>
    <sheetView showGridLines="0" tabSelected="1" zoomScaleNormal="100" workbookViewId="0"/>
  </sheetViews>
  <sheetFormatPr defaultColWidth="8.5703125" defaultRowHeight="15"/>
  <cols>
    <col min="1" max="1" width="43.85546875" customWidth="1"/>
    <col min="2" max="2" width="116.42578125" customWidth="1"/>
    <col min="3" max="3" width="10.28515625" customWidth="1"/>
    <col min="4" max="9" width="9.140625"/>
    <col min="10" max="10" width="7.42578125" customWidth="1"/>
  </cols>
  <sheetData>
    <row r="1" spans="1:10" ht="18">
      <c r="A1" s="92" t="s">
        <v>0</v>
      </c>
      <c r="B1" s="72"/>
      <c r="C1" s="93"/>
      <c r="D1" s="93"/>
      <c r="E1" s="93"/>
      <c r="F1" s="93"/>
      <c r="G1" s="93"/>
      <c r="H1" s="93"/>
    </row>
    <row r="2" spans="1:10" ht="18">
      <c r="A2" s="94" t="s">
        <v>1</v>
      </c>
      <c r="B2" s="93"/>
      <c r="C2" s="93"/>
      <c r="D2" s="93"/>
      <c r="E2" s="93"/>
      <c r="F2" s="93"/>
      <c r="G2" s="93"/>
      <c r="H2" s="93"/>
    </row>
    <row r="3" spans="1:10" ht="18">
      <c r="A3" s="128" t="s">
        <v>2</v>
      </c>
      <c r="B3" s="93"/>
      <c r="C3" s="93"/>
      <c r="D3" s="93"/>
      <c r="E3" s="93"/>
      <c r="F3" s="93"/>
      <c r="G3" s="93"/>
      <c r="H3" s="93"/>
    </row>
    <row r="4" spans="1:10" ht="14.25" customHeight="1">
      <c r="A4" s="57" t="s">
        <v>3</v>
      </c>
      <c r="B4" s="73"/>
      <c r="C4" s="73"/>
      <c r="D4" s="73"/>
      <c r="E4" s="73"/>
      <c r="F4" s="73"/>
      <c r="G4" s="73"/>
      <c r="H4" s="73"/>
      <c r="I4" s="73"/>
    </row>
    <row r="5" spans="1:10" ht="14.25" customHeight="1">
      <c r="A5" s="57" t="s">
        <v>4</v>
      </c>
      <c r="B5" s="6"/>
      <c r="C5" s="6"/>
      <c r="D5" s="6"/>
      <c r="E5" s="6"/>
      <c r="F5" s="6"/>
      <c r="G5" s="6"/>
      <c r="H5" s="6"/>
      <c r="I5" s="6"/>
    </row>
    <row r="6" spans="1:10" ht="15.75">
      <c r="A6" s="267" t="s">
        <v>5</v>
      </c>
      <c r="B6" s="247" t="s">
        <v>3780</v>
      </c>
    </row>
    <row r="7" spans="1:10" ht="15.75">
      <c r="A7" s="267" t="s">
        <v>6</v>
      </c>
      <c r="B7" s="247"/>
    </row>
    <row r="8" spans="1:10" ht="15.75">
      <c r="A8" s="268" t="s">
        <v>7</v>
      </c>
      <c r="B8" s="247" t="s">
        <v>3781</v>
      </c>
    </row>
    <row r="9" spans="1:10" ht="14.45" customHeight="1">
      <c r="A9" s="268" t="s">
        <v>8</v>
      </c>
      <c r="B9" s="247" t="s">
        <v>3782</v>
      </c>
    </row>
    <row r="10" spans="1:10" ht="15.75">
      <c r="A10" s="268" t="s">
        <v>9</v>
      </c>
      <c r="B10" s="247" t="s">
        <v>3783</v>
      </c>
    </row>
    <row r="11" spans="1:10" ht="15.75">
      <c r="A11" s="268" t="s">
        <v>10</v>
      </c>
      <c r="B11" s="247" t="s">
        <v>3784</v>
      </c>
    </row>
    <row r="12" spans="1:10" ht="15.75">
      <c r="A12" s="268" t="s">
        <v>11</v>
      </c>
      <c r="B12" s="247" t="s">
        <v>3785</v>
      </c>
    </row>
    <row r="13" spans="1:10" ht="15.75" customHeight="1">
      <c r="A13" s="268" t="s">
        <v>12</v>
      </c>
      <c r="B13" s="247" t="s">
        <v>3786</v>
      </c>
    </row>
    <row r="14" spans="1:10" ht="15.75">
      <c r="A14" s="268" t="s">
        <v>13</v>
      </c>
      <c r="B14" s="247" t="s">
        <v>3787</v>
      </c>
      <c r="C14" s="8"/>
      <c r="D14" s="8"/>
      <c r="E14" s="8"/>
      <c r="F14" s="8"/>
      <c r="G14" s="8"/>
      <c r="H14" s="8"/>
      <c r="I14" s="8"/>
      <c r="J14" s="8"/>
    </row>
    <row r="15" spans="1:10" ht="18.75" customHeight="1">
      <c r="A15" s="95" t="s">
        <v>14</v>
      </c>
      <c r="B15" s="8"/>
      <c r="C15" s="9"/>
      <c r="D15" s="9"/>
      <c r="E15" s="9"/>
      <c r="F15" s="9"/>
      <c r="G15" s="9"/>
      <c r="H15" s="9"/>
      <c r="I15" s="9"/>
      <c r="J15" s="9"/>
    </row>
    <row r="16" spans="1:10" ht="39.75" customHeight="1">
      <c r="A16" s="284" t="s">
        <v>15</v>
      </c>
      <c r="B16" s="284"/>
      <c r="C16" s="10"/>
      <c r="D16" s="10"/>
      <c r="E16" s="10"/>
      <c r="F16" s="10"/>
      <c r="G16" s="10"/>
      <c r="H16" s="10"/>
      <c r="I16" s="10"/>
      <c r="J16" s="10"/>
    </row>
    <row r="17" spans="1:10" ht="18.75" customHeight="1">
      <c r="A17" s="97" t="s">
        <v>16</v>
      </c>
      <c r="B17" s="74"/>
      <c r="C17" s="11"/>
      <c r="D17" s="11"/>
      <c r="E17" s="11"/>
      <c r="F17" s="11"/>
      <c r="G17" s="11"/>
      <c r="H17" s="11"/>
      <c r="I17" s="11"/>
      <c r="J17" s="11"/>
    </row>
    <row r="18" spans="1:10" ht="15.75">
      <c r="A18" s="96" t="s">
        <v>17</v>
      </c>
      <c r="B18" s="11"/>
    </row>
    <row r="19" spans="1:10">
      <c r="A19" s="12" t="s">
        <v>18</v>
      </c>
    </row>
  </sheetData>
  <sheetProtection algorithmName="SHA-512" hashValue="uhXnANkbrRoV2WDQsD7XnLlqje7OL2Wui60CUl+EYemsIXZTaq6GlCVatipi6WYfIT9ZUfafVE47FM73DkojVg==" saltValue="H/Pl4TW2kZ6Y74FMUuLM8A==" spinCount="100000" sheet="1" objects="1" scenarios="1"/>
  <mergeCells count="1">
    <mergeCell ref="A16:B16"/>
  </mergeCells>
  <hyperlinks>
    <hyperlink ref="A16:J16" r:id="rId1" display="California Energy Commission's website." xr:uid="{BDE9E638-5484-4A3C-B691-07F3409BCDB9}"/>
    <hyperlink ref="A17" r:id="rId2" xr:uid="{F1AE7F1B-F149-45D0-BD77-D45C2F6B29F6}"/>
  </hyperlinks>
  <printOptions horizontalCentered="1"/>
  <pageMargins left="0.7" right="0.7" top="0.75" bottom="0.75" header="0.3" footer="0.3"/>
  <pageSetup scale="67" orientation="portrait" horizontalDpi="1200" verticalDpi="1200"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8E9F-CFCF-4877-87A9-D66989BA3CF7}">
  <sheetPr codeName="Sheet1">
    <pageSetUpPr fitToPage="1"/>
  </sheetPr>
  <dimension ref="A1:D12"/>
  <sheetViews>
    <sheetView showGridLines="0" showWhiteSpace="0" zoomScale="140" zoomScaleNormal="140" zoomScalePageLayoutView="113" workbookViewId="0"/>
  </sheetViews>
  <sheetFormatPr defaultRowHeight="15"/>
  <cols>
    <col min="1" max="1" width="16.5703125" customWidth="1"/>
    <col min="2" max="2" width="20.85546875" customWidth="1"/>
    <col min="3" max="3" width="23.140625" customWidth="1"/>
    <col min="4" max="4" width="29.5703125" customWidth="1"/>
  </cols>
  <sheetData>
    <row r="1" spans="1:4" ht="18" customHeight="1">
      <c r="A1" s="98" t="s">
        <v>0</v>
      </c>
      <c r="B1" s="99"/>
      <c r="C1" s="99"/>
      <c r="D1" s="100"/>
    </row>
    <row r="2" spans="1:4" ht="18" customHeight="1">
      <c r="A2" s="101" t="s">
        <v>3763</v>
      </c>
      <c r="B2" s="102"/>
      <c r="C2" s="102"/>
      <c r="D2" s="103"/>
    </row>
    <row r="3" spans="1:4" ht="18" customHeight="1">
      <c r="A3" s="101" t="s">
        <v>1</v>
      </c>
      <c r="B3" s="102"/>
      <c r="C3" s="102"/>
      <c r="D3" s="103"/>
    </row>
    <row r="4" spans="1:4" ht="18" customHeight="1">
      <c r="A4" s="104" t="str">
        <f>'PSD Intro'!B6</f>
        <v>Marin Clean Energy ("MCE")</v>
      </c>
      <c r="B4" s="105"/>
      <c r="C4" s="105"/>
      <c r="D4" s="106"/>
    </row>
    <row r="5" spans="1:4" ht="20.25" customHeight="1">
      <c r="A5" s="282" t="s">
        <v>4272</v>
      </c>
      <c r="B5" s="283"/>
      <c r="C5" s="283"/>
      <c r="D5" s="283"/>
    </row>
    <row r="6" spans="1:4" ht="44.25" customHeight="1">
      <c r="A6" s="283"/>
      <c r="B6" s="283"/>
      <c r="C6" s="283"/>
      <c r="D6" s="283"/>
    </row>
    <row r="7" spans="1:4" ht="27" customHeight="1">
      <c r="A7" s="283"/>
      <c r="B7" s="283"/>
      <c r="C7" s="283"/>
      <c r="D7" s="283"/>
    </row>
    <row r="8" spans="1:4">
      <c r="A8" s="250" t="s">
        <v>4273</v>
      </c>
      <c r="B8" s="249"/>
      <c r="C8" s="249"/>
      <c r="D8" s="249"/>
    </row>
    <row r="9" spans="1:4">
      <c r="A9" s="250" t="s">
        <v>3792</v>
      </c>
      <c r="B9" s="249"/>
      <c r="C9" s="249"/>
      <c r="D9" s="249"/>
    </row>
    <row r="10" spans="1:4" ht="16.5">
      <c r="A10" s="250" t="s">
        <v>3764</v>
      </c>
      <c r="B10" s="281" t="e" vm="1">
        <v>#VALUE!</v>
      </c>
      <c r="C10" s="249"/>
      <c r="D10" s="249"/>
    </row>
    <row r="11" spans="1:4">
      <c r="A11" s="250" t="s">
        <v>4274</v>
      </c>
      <c r="B11" s="249"/>
      <c r="C11" s="249"/>
      <c r="D11" s="249"/>
    </row>
    <row r="12" spans="1:4">
      <c r="A12" s="250" t="s">
        <v>3793</v>
      </c>
      <c r="B12" s="249"/>
      <c r="C12" s="249"/>
      <c r="D12" s="249"/>
    </row>
  </sheetData>
  <mergeCells count="1">
    <mergeCell ref="A5:D7"/>
  </mergeCells>
  <printOptions horizontalCentered="1"/>
  <pageMargins left="0.5" right="0.5" top="1" bottom="1"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7FEFE-0CA6-4030-838E-082AD981E4A6}">
  <sheetPr codeName="Sheet3"/>
  <dimension ref="A1:F15"/>
  <sheetViews>
    <sheetView topLeftCell="BN1" workbookViewId="0">
      <selection sqref="A1:F15"/>
    </sheetView>
  </sheetViews>
  <sheetFormatPr defaultColWidth="9.140625" defaultRowHeight="14.25"/>
  <cols>
    <col min="1" max="2" width="38.42578125" style="12" customWidth="1"/>
    <col min="3" max="3" width="24.28515625" style="12" customWidth="1"/>
    <col min="4" max="4" width="11.85546875" style="12" customWidth="1"/>
    <col min="5" max="5" width="26" style="12" customWidth="1"/>
    <col min="6" max="6" width="31.85546875" style="12" customWidth="1"/>
    <col min="7" max="16384" width="9.140625" style="12"/>
  </cols>
  <sheetData>
    <row r="1" spans="1:6" ht="15">
      <c r="A1" s="43" t="s">
        <v>3765</v>
      </c>
      <c r="B1" s="43" t="s">
        <v>77</v>
      </c>
      <c r="C1" s="43" t="s">
        <v>3766</v>
      </c>
      <c r="D1" s="43" t="s">
        <v>3767</v>
      </c>
      <c r="E1" s="43" t="s">
        <v>3768</v>
      </c>
      <c r="F1" s="43" t="s">
        <v>3769</v>
      </c>
    </row>
    <row r="2" spans="1:6">
      <c r="A2" s="12" t="s">
        <v>3770</v>
      </c>
      <c r="B2" s="12" t="s">
        <v>3770</v>
      </c>
      <c r="C2" s="12" t="s">
        <v>26</v>
      </c>
      <c r="D2" s="12" t="s">
        <v>3771</v>
      </c>
      <c r="E2" s="12">
        <v>4.3727031303423702E-2</v>
      </c>
      <c r="F2" s="12">
        <v>0.42799999999999999</v>
      </c>
    </row>
    <row r="3" spans="1:6">
      <c r="C3" s="12" t="s">
        <v>27</v>
      </c>
      <c r="D3" s="12" t="s">
        <v>3772</v>
      </c>
      <c r="E3" s="12">
        <v>6.5978850116714893E-2</v>
      </c>
    </row>
    <row r="4" spans="1:6">
      <c r="C4" s="12" t="s">
        <v>28</v>
      </c>
    </row>
    <row r="5" spans="1:6">
      <c r="C5" s="12" t="s">
        <v>29</v>
      </c>
    </row>
    <row r="6" spans="1:6">
      <c r="C6" s="12" t="s">
        <v>30</v>
      </c>
    </row>
    <row r="7" spans="1:6">
      <c r="C7" s="12" t="s">
        <v>31</v>
      </c>
    </row>
    <row r="8" spans="1:6">
      <c r="C8" s="12" t="s">
        <v>32</v>
      </c>
    </row>
    <row r="9" spans="1:6">
      <c r="C9" s="12" t="s">
        <v>34</v>
      </c>
    </row>
    <row r="10" spans="1:6">
      <c r="C10" s="12" t="s">
        <v>136</v>
      </c>
    </row>
    <row r="11" spans="1:6">
      <c r="C11" s="12" t="s">
        <v>35</v>
      </c>
    </row>
    <row r="12" spans="1:6">
      <c r="C12" s="12" t="s">
        <v>3773</v>
      </c>
    </row>
    <row r="13" spans="1:6">
      <c r="C13" s="12" t="s">
        <v>37</v>
      </c>
    </row>
    <row r="14" spans="1:6">
      <c r="C14" s="12" t="s">
        <v>38</v>
      </c>
    </row>
    <row r="15" spans="1:6">
      <c r="C15" s="12" t="s">
        <v>33</v>
      </c>
    </row>
  </sheetData>
  <sheetProtection algorithmName="SHA-512" hashValue="b4TYfPRelwyZGG4zFpxTK2QVxbqO45pnh+Dje2QMYqY/nWj6kbbKuJ+XoYPCY7yA2h6OK87vQpVGB69UW4nAaw==" saltValue="2G5VSI55lVaoVY2D1C25l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B029-F261-418C-AEAA-B66766185F50}">
  <sheetPr codeName="Sheet2"/>
  <dimension ref="A1:AR601"/>
  <sheetViews>
    <sheetView zoomScale="90" zoomScaleNormal="90" workbookViewId="0">
      <selection sqref="A1:O26"/>
    </sheetView>
  </sheetViews>
  <sheetFormatPr defaultColWidth="9.140625" defaultRowHeight="14.25" customHeight="1"/>
  <cols>
    <col min="1" max="1" width="57.85546875" style="35" customWidth="1"/>
    <col min="2" max="2" width="33.85546875" style="35" customWidth="1"/>
    <col min="3" max="3" width="18" style="35" customWidth="1"/>
    <col min="4" max="4" width="24.85546875" style="35" customWidth="1"/>
    <col min="5" max="5" width="19.85546875" style="35" customWidth="1"/>
    <col min="6" max="6" width="23.85546875" style="35" customWidth="1"/>
    <col min="7" max="7" width="16.7109375" style="35" customWidth="1"/>
    <col min="8" max="8" width="18" style="35" customWidth="1"/>
    <col min="9" max="9" width="18.140625" style="35" customWidth="1"/>
    <col min="10" max="10" width="18" style="35" customWidth="1"/>
    <col min="11" max="11" width="22.140625" style="35" customWidth="1"/>
    <col min="12" max="13" width="23.5703125" style="35" customWidth="1"/>
    <col min="14" max="14" width="21.5703125" style="35" customWidth="1"/>
    <col min="15" max="15" width="16.28515625" style="35" customWidth="1"/>
    <col min="16" max="16" width="34.85546875" style="35" customWidth="1"/>
    <col min="17" max="17" width="25.7109375" style="35" customWidth="1"/>
    <col min="18" max="19" width="23.5703125" style="35" customWidth="1"/>
    <col min="20" max="21" width="23.7109375" style="35" customWidth="1" collapsed="1"/>
    <col min="22" max="22" width="22.85546875" style="35" customWidth="1" collapsed="1"/>
    <col min="23" max="23" width="21.140625" style="35" customWidth="1" collapsed="1"/>
    <col min="24" max="24" width="19" style="35" customWidth="1" collapsed="1"/>
    <col min="25" max="25" width="22.28515625" style="35" customWidth="1"/>
    <col min="26" max="27" width="22.28515625" style="35" hidden="1" customWidth="1"/>
    <col min="28" max="28" width="32.42578125" style="35" customWidth="1"/>
    <col min="29" max="29" width="21.5703125" style="35" customWidth="1"/>
    <col min="30" max="30" width="68.85546875" style="35" customWidth="1"/>
    <col min="31" max="31" width="29" style="35" customWidth="1"/>
    <col min="32" max="32" width="25.85546875" style="35" customWidth="1"/>
    <col min="33" max="33" width="20.28515625" style="35" customWidth="1"/>
    <col min="34" max="34" width="23.7109375" style="35" customWidth="1"/>
    <col min="35" max="35" width="22.42578125" style="35" customWidth="1"/>
    <col min="36" max="36" width="26.5703125" style="35" customWidth="1"/>
    <col min="37" max="37" width="18" style="35" customWidth="1"/>
    <col min="38" max="38" width="18.85546875" style="35" customWidth="1"/>
    <col min="39" max="39" width="22.28515625" style="35" customWidth="1"/>
    <col min="40" max="40" width="18.85546875" style="35" customWidth="1"/>
    <col min="41" max="41" width="28.42578125" style="35" customWidth="1"/>
    <col min="42" max="42" width="18.28515625" style="35" customWidth="1"/>
    <col min="43" max="43" width="25.140625" style="35" customWidth="1"/>
    <col min="44" max="44" width="18.85546875" style="35" customWidth="1"/>
    <col min="45" max="16384" width="9.140625" style="35"/>
  </cols>
  <sheetData>
    <row r="1" spans="1:37" ht="51.75" customHeight="1">
      <c r="A1" s="285" t="s">
        <v>19</v>
      </c>
      <c r="B1" s="286"/>
      <c r="C1" s="286"/>
      <c r="D1" s="286"/>
      <c r="E1" s="286"/>
      <c r="F1" s="286"/>
      <c r="G1" s="286"/>
      <c r="H1" s="286"/>
      <c r="I1" s="286"/>
      <c r="J1" s="286"/>
      <c r="K1" s="286"/>
      <c r="L1" s="286"/>
      <c r="M1" s="286"/>
      <c r="N1" s="286"/>
      <c r="O1" s="286"/>
      <c r="P1" s="196" t="s">
        <v>20</v>
      </c>
      <c r="Q1" s="130"/>
      <c r="R1" s="130"/>
      <c r="S1" s="130"/>
      <c r="T1" s="195"/>
      <c r="U1" s="130"/>
      <c r="V1" s="130"/>
      <c r="W1" s="130"/>
      <c r="X1" s="131"/>
      <c r="AD1" s="154"/>
      <c r="AE1" s="154"/>
      <c r="AF1" s="154"/>
      <c r="AG1" s="154"/>
      <c r="AH1" s="154"/>
      <c r="AI1" s="154"/>
      <c r="AJ1" s="154"/>
      <c r="AK1" s="154"/>
    </row>
    <row r="2" spans="1:37" ht="53.25" customHeight="1">
      <c r="A2" s="286"/>
      <c r="B2" s="286"/>
      <c r="C2" s="286"/>
      <c r="D2" s="286"/>
      <c r="E2" s="286"/>
      <c r="F2" s="286"/>
      <c r="G2" s="286"/>
      <c r="H2" s="286"/>
      <c r="I2" s="286"/>
      <c r="J2" s="286"/>
      <c r="K2" s="286"/>
      <c r="L2" s="286"/>
      <c r="M2" s="286"/>
      <c r="N2" s="286"/>
      <c r="O2" s="286"/>
      <c r="P2" s="140" t="s">
        <v>21</v>
      </c>
      <c r="Q2" s="110" t="str">
        <f t="shared" ref="Q2:V2" si="0">Q27</f>
        <v>Deep Green</v>
      </c>
      <c r="R2" s="110" t="str">
        <f t="shared" si="0"/>
        <v>LocalSol</v>
      </c>
      <c r="S2" s="110" t="str">
        <f t="shared" si="0"/>
        <v>LightGreen</v>
      </c>
      <c r="T2" s="110" t="str">
        <f t="shared" si="0"/>
        <v>GreenAccess</v>
      </c>
      <c r="U2" s="110" t="str">
        <f t="shared" si="0"/>
        <v>Electricity Portfolio Name 5</v>
      </c>
      <c r="V2" s="110" t="str">
        <f t="shared" si="0"/>
        <v>Electricity Portfolio Name 6</v>
      </c>
      <c r="W2" s="111" t="s">
        <v>22</v>
      </c>
      <c r="X2" s="141" t="s">
        <v>23</v>
      </c>
      <c r="AD2" s="155"/>
      <c r="AE2" s="160"/>
      <c r="AF2" s="160"/>
      <c r="AG2" s="160"/>
      <c r="AH2" s="160"/>
      <c r="AI2" s="160"/>
      <c r="AJ2" s="160"/>
      <c r="AK2" s="160"/>
    </row>
    <row r="3" spans="1:37" ht="36" customHeight="1">
      <c r="A3" s="286"/>
      <c r="B3" s="286"/>
      <c r="C3" s="286"/>
      <c r="D3" s="286"/>
      <c r="E3" s="286"/>
      <c r="F3" s="286"/>
      <c r="G3" s="286"/>
      <c r="H3" s="286"/>
      <c r="I3" s="286"/>
      <c r="J3" s="286"/>
      <c r="K3" s="286"/>
      <c r="L3" s="286"/>
      <c r="M3" s="286"/>
      <c r="N3" s="286"/>
      <c r="O3" s="286"/>
      <c r="P3" s="132" t="s">
        <v>24</v>
      </c>
      <c r="Q3" s="138">
        <f t="shared" ref="Q3:W3" si="1">Q25</f>
        <v>465344.26187000098</v>
      </c>
      <c r="R3" s="138">
        <f t="shared" si="1"/>
        <v>2123.2023100000001</v>
      </c>
      <c r="S3" s="138">
        <f t="shared" si="1"/>
        <v>4810857.0455299998</v>
      </c>
      <c r="T3" s="138">
        <f t="shared" si="1"/>
        <v>26942.490290000002</v>
      </c>
      <c r="U3" s="138">
        <f t="shared" si="1"/>
        <v>0</v>
      </c>
      <c r="V3" s="138">
        <f t="shared" si="1"/>
        <v>0</v>
      </c>
      <c r="W3" s="138">
        <f t="shared" si="1"/>
        <v>0</v>
      </c>
      <c r="X3" s="147">
        <f>X4+X18</f>
        <v>256284</v>
      </c>
      <c r="AD3" s="156"/>
      <c r="AE3" s="160"/>
      <c r="AF3" s="160"/>
      <c r="AG3" s="160"/>
      <c r="AH3" s="160"/>
      <c r="AI3" s="160"/>
      <c r="AJ3" s="160"/>
      <c r="AK3" s="160"/>
    </row>
    <row r="4" spans="1:37" ht="33.75" customHeight="1">
      <c r="A4" s="286"/>
      <c r="B4" s="286"/>
      <c r="C4" s="286"/>
      <c r="D4" s="286"/>
      <c r="E4" s="286"/>
      <c r="F4" s="286"/>
      <c r="G4" s="286"/>
      <c r="H4" s="286"/>
      <c r="I4" s="286"/>
      <c r="J4" s="286"/>
      <c r="K4" s="286"/>
      <c r="L4" s="286"/>
      <c r="M4" s="286"/>
      <c r="N4" s="286"/>
      <c r="O4" s="286"/>
      <c r="P4" s="132" t="s">
        <v>25</v>
      </c>
      <c r="Q4" s="139">
        <f t="shared" ref="Q4:W4" si="2">SUM(Q28:Q601)</f>
        <v>465344.26187000098</v>
      </c>
      <c r="R4" s="139">
        <f t="shared" si="2"/>
        <v>2123.2023100000001</v>
      </c>
      <c r="S4" s="139">
        <f t="shared" si="2"/>
        <v>4810857.0455299998</v>
      </c>
      <c r="T4" s="139">
        <f t="shared" si="2"/>
        <v>26942.490290000002</v>
      </c>
      <c r="U4" s="139">
        <f t="shared" si="2"/>
        <v>0</v>
      </c>
      <c r="V4" s="139">
        <f t="shared" si="2"/>
        <v>0</v>
      </c>
      <c r="W4" s="139">
        <f t="shared" si="2"/>
        <v>0</v>
      </c>
      <c r="X4" s="147">
        <f>SUM(X28:X601)+SUM(Z28:Z601)</f>
        <v>256284</v>
      </c>
      <c r="AD4" s="157"/>
      <c r="AE4" s="158"/>
      <c r="AF4" s="158"/>
      <c r="AG4" s="158"/>
      <c r="AH4" s="158"/>
      <c r="AI4" s="158"/>
      <c r="AJ4" s="158"/>
      <c r="AK4" s="158"/>
    </row>
    <row r="5" spans="1:37" ht="25.5" customHeight="1">
      <c r="A5" s="286"/>
      <c r="B5" s="286"/>
      <c r="C5" s="286"/>
      <c r="D5" s="286"/>
      <c r="E5" s="286"/>
      <c r="F5" s="286"/>
      <c r="G5" s="286"/>
      <c r="H5" s="286"/>
      <c r="I5" s="286"/>
      <c r="J5" s="286"/>
      <c r="K5" s="286"/>
      <c r="L5" s="286"/>
      <c r="M5" s="286"/>
      <c r="N5" s="286"/>
      <c r="O5" s="286"/>
      <c r="P5" s="142" t="s">
        <v>26</v>
      </c>
      <c r="Q5" s="68">
        <f t="shared" ref="Q5:W14" si="3">SUMIFS(Q$28:Q$601,$B$28:$B$601,$P5)</f>
        <v>0</v>
      </c>
      <c r="R5" s="68">
        <f t="shared" si="3"/>
        <v>0</v>
      </c>
      <c r="S5" s="68">
        <f t="shared" si="3"/>
        <v>179049</v>
      </c>
      <c r="T5" s="68">
        <f t="shared" si="3"/>
        <v>0</v>
      </c>
      <c r="U5" s="68">
        <f t="shared" si="3"/>
        <v>0</v>
      </c>
      <c r="V5" s="68">
        <f t="shared" si="3"/>
        <v>0</v>
      </c>
      <c r="W5" s="68">
        <f t="shared" si="3"/>
        <v>0</v>
      </c>
      <c r="X5" s="134">
        <f t="shared" ref="X5:X14" si="4">SUMIFS(X$28:X$601,$B$28:$B$601,$P5)+SUMIFS(Z$28:Z$601,$B$28:$B$601,$P5)</f>
        <v>0</v>
      </c>
      <c r="AD5" s="159"/>
      <c r="AE5" s="160"/>
      <c r="AF5" s="160"/>
      <c r="AG5" s="160"/>
      <c r="AH5" s="160"/>
      <c r="AI5" s="160"/>
      <c r="AJ5" s="160"/>
      <c r="AK5" s="160"/>
    </row>
    <row r="6" spans="1:37" ht="19.5" customHeight="1">
      <c r="A6" s="286"/>
      <c r="B6" s="286"/>
      <c r="C6" s="286"/>
      <c r="D6" s="286"/>
      <c r="E6" s="286"/>
      <c r="F6" s="286"/>
      <c r="G6" s="286"/>
      <c r="H6" s="286"/>
      <c r="I6" s="286"/>
      <c r="J6" s="286"/>
      <c r="K6" s="286"/>
      <c r="L6" s="286"/>
      <c r="M6" s="286"/>
      <c r="N6" s="286"/>
      <c r="O6" s="286"/>
      <c r="P6" s="133" t="s">
        <v>27</v>
      </c>
      <c r="Q6" s="68">
        <f t="shared" si="3"/>
        <v>0</v>
      </c>
      <c r="R6" s="68">
        <f t="shared" si="3"/>
        <v>0</v>
      </c>
      <c r="S6" s="68">
        <f t="shared" si="3"/>
        <v>109265</v>
      </c>
      <c r="T6" s="68">
        <f t="shared" si="3"/>
        <v>0</v>
      </c>
      <c r="U6" s="68">
        <f t="shared" si="3"/>
        <v>0</v>
      </c>
      <c r="V6" s="68">
        <f t="shared" si="3"/>
        <v>0</v>
      </c>
      <c r="W6" s="68">
        <f t="shared" si="3"/>
        <v>0</v>
      </c>
      <c r="X6" s="134">
        <f t="shared" si="4"/>
        <v>0</v>
      </c>
      <c r="AD6" s="161"/>
      <c r="AE6" s="162"/>
      <c r="AF6" s="162"/>
      <c r="AG6" s="162"/>
      <c r="AH6" s="162"/>
      <c r="AI6" s="162"/>
      <c r="AJ6" s="162"/>
      <c r="AK6" s="162"/>
    </row>
    <row r="7" spans="1:37" ht="15" customHeight="1">
      <c r="A7" s="286"/>
      <c r="B7" s="286"/>
      <c r="C7" s="286"/>
      <c r="D7" s="286"/>
      <c r="E7" s="286"/>
      <c r="F7" s="286"/>
      <c r="G7" s="286"/>
      <c r="H7" s="286"/>
      <c r="I7" s="286"/>
      <c r="J7" s="286"/>
      <c r="K7" s="286"/>
      <c r="L7" s="286"/>
      <c r="M7" s="286"/>
      <c r="N7" s="286"/>
      <c r="O7" s="286"/>
      <c r="P7" s="133" t="s">
        <v>28</v>
      </c>
      <c r="Q7" s="68">
        <f t="shared" si="3"/>
        <v>0</v>
      </c>
      <c r="R7" s="68">
        <f t="shared" si="3"/>
        <v>0</v>
      </c>
      <c r="S7" s="68">
        <f t="shared" si="3"/>
        <v>279413</v>
      </c>
      <c r="T7" s="68">
        <f t="shared" si="3"/>
        <v>0</v>
      </c>
      <c r="U7" s="68">
        <f t="shared" si="3"/>
        <v>0</v>
      </c>
      <c r="V7" s="68">
        <f t="shared" si="3"/>
        <v>0</v>
      </c>
      <c r="W7" s="68">
        <f t="shared" si="3"/>
        <v>0</v>
      </c>
      <c r="X7" s="134">
        <f t="shared" si="4"/>
        <v>0</v>
      </c>
      <c r="AD7" s="163"/>
      <c r="AE7" s="164"/>
      <c r="AF7" s="164"/>
      <c r="AG7" s="164"/>
      <c r="AH7" s="164"/>
      <c r="AI7" s="164"/>
      <c r="AJ7" s="164"/>
      <c r="AK7" s="164"/>
    </row>
    <row r="8" spans="1:37" ht="15" customHeight="1">
      <c r="A8" s="286"/>
      <c r="B8" s="286"/>
      <c r="C8" s="286"/>
      <c r="D8" s="286"/>
      <c r="E8" s="286"/>
      <c r="F8" s="286"/>
      <c r="G8" s="286"/>
      <c r="H8" s="286"/>
      <c r="I8" s="286"/>
      <c r="J8" s="286"/>
      <c r="K8" s="286"/>
      <c r="L8" s="286"/>
      <c r="M8" s="286"/>
      <c r="N8" s="286"/>
      <c r="O8" s="286"/>
      <c r="P8" s="133" t="s">
        <v>29</v>
      </c>
      <c r="Q8" s="68">
        <f t="shared" si="3"/>
        <v>232672.26187000101</v>
      </c>
      <c r="R8" s="68">
        <f t="shared" si="3"/>
        <v>2123.2023100000001</v>
      </c>
      <c r="S8" s="68">
        <f t="shared" si="3"/>
        <v>2013339.0455299991</v>
      </c>
      <c r="T8" s="68">
        <f t="shared" si="3"/>
        <v>26942.490290000002</v>
      </c>
      <c r="U8" s="68">
        <f t="shared" si="3"/>
        <v>0</v>
      </c>
      <c r="V8" s="68">
        <f t="shared" si="3"/>
        <v>0</v>
      </c>
      <c r="W8" s="68">
        <f t="shared" si="3"/>
        <v>0</v>
      </c>
      <c r="X8" s="134">
        <f t="shared" si="4"/>
        <v>0</v>
      </c>
      <c r="AD8" s="163"/>
      <c r="AE8" s="164"/>
      <c r="AF8" s="164"/>
      <c r="AG8" s="164"/>
      <c r="AH8" s="164"/>
      <c r="AI8" s="164"/>
      <c r="AJ8" s="164"/>
      <c r="AK8" s="164"/>
    </row>
    <row r="9" spans="1:37" ht="15" customHeight="1">
      <c r="A9" s="286"/>
      <c r="B9" s="286"/>
      <c r="C9" s="286"/>
      <c r="D9" s="286"/>
      <c r="E9" s="286"/>
      <c r="F9" s="286"/>
      <c r="G9" s="286"/>
      <c r="H9" s="286"/>
      <c r="I9" s="286"/>
      <c r="J9" s="286"/>
      <c r="K9" s="286"/>
      <c r="L9" s="286"/>
      <c r="M9" s="286"/>
      <c r="N9" s="286"/>
      <c r="O9" s="286"/>
      <c r="P9" s="133" t="s">
        <v>30</v>
      </c>
      <c r="Q9" s="68">
        <f t="shared" si="3"/>
        <v>232672</v>
      </c>
      <c r="R9" s="68">
        <f t="shared" si="3"/>
        <v>0</v>
      </c>
      <c r="S9" s="68">
        <f t="shared" si="3"/>
        <v>1015930</v>
      </c>
      <c r="T9" s="68">
        <f t="shared" si="3"/>
        <v>0</v>
      </c>
      <c r="U9" s="68">
        <f t="shared" si="3"/>
        <v>0</v>
      </c>
      <c r="V9" s="68">
        <f t="shared" si="3"/>
        <v>0</v>
      </c>
      <c r="W9" s="68">
        <f t="shared" si="3"/>
        <v>0</v>
      </c>
      <c r="X9" s="134">
        <f t="shared" si="4"/>
        <v>0</v>
      </c>
      <c r="AD9" s="163"/>
      <c r="AE9" s="164"/>
      <c r="AF9" s="164"/>
      <c r="AG9" s="164"/>
      <c r="AH9" s="164"/>
      <c r="AI9" s="164"/>
      <c r="AJ9" s="164"/>
      <c r="AK9" s="164"/>
    </row>
    <row r="10" spans="1:37" ht="15" customHeight="1">
      <c r="A10" s="286"/>
      <c r="B10" s="286"/>
      <c r="C10" s="286"/>
      <c r="D10" s="286"/>
      <c r="E10" s="286"/>
      <c r="F10" s="286"/>
      <c r="G10" s="286"/>
      <c r="H10" s="286"/>
      <c r="I10" s="286"/>
      <c r="J10" s="286"/>
      <c r="K10" s="286"/>
      <c r="L10" s="286"/>
      <c r="M10" s="286"/>
      <c r="N10" s="286"/>
      <c r="O10" s="286"/>
      <c r="P10" s="133" t="s">
        <v>31</v>
      </c>
      <c r="Q10" s="68">
        <f t="shared" si="3"/>
        <v>0</v>
      </c>
      <c r="R10" s="68">
        <f t="shared" si="3"/>
        <v>0</v>
      </c>
      <c r="S10" s="68">
        <f t="shared" si="3"/>
        <v>1213861.0000000012</v>
      </c>
      <c r="T10" s="68">
        <f t="shared" si="3"/>
        <v>0</v>
      </c>
      <c r="U10" s="68">
        <f t="shared" si="3"/>
        <v>0</v>
      </c>
      <c r="V10" s="68">
        <f t="shared" si="3"/>
        <v>0</v>
      </c>
      <c r="W10" s="68">
        <f t="shared" si="3"/>
        <v>0</v>
      </c>
      <c r="X10" s="134">
        <f t="shared" si="4"/>
        <v>0</v>
      </c>
      <c r="AD10" s="163"/>
      <c r="AE10" s="164"/>
      <c r="AF10" s="164"/>
      <c r="AG10" s="164"/>
      <c r="AH10" s="164"/>
      <c r="AI10" s="164"/>
      <c r="AJ10" s="164"/>
      <c r="AK10" s="164"/>
    </row>
    <row r="11" spans="1:37" ht="15" customHeight="1">
      <c r="A11" s="286"/>
      <c r="B11" s="286"/>
      <c r="C11" s="286"/>
      <c r="D11" s="286"/>
      <c r="E11" s="286"/>
      <c r="F11" s="286"/>
      <c r="G11" s="286"/>
      <c r="H11" s="286"/>
      <c r="I11" s="286"/>
      <c r="J11" s="286"/>
      <c r="K11" s="286"/>
      <c r="L11" s="286"/>
      <c r="M11" s="286"/>
      <c r="N11" s="286"/>
      <c r="O11" s="286"/>
      <c r="P11" s="133" t="s">
        <v>32</v>
      </c>
      <c r="Q11" s="68">
        <f t="shared" si="3"/>
        <v>0</v>
      </c>
      <c r="R11" s="68">
        <f t="shared" si="3"/>
        <v>0</v>
      </c>
      <c r="S11" s="68">
        <f t="shared" si="3"/>
        <v>0</v>
      </c>
      <c r="T11" s="68">
        <f t="shared" si="3"/>
        <v>0</v>
      </c>
      <c r="U11" s="68">
        <f t="shared" si="3"/>
        <v>0</v>
      </c>
      <c r="V11" s="68">
        <f t="shared" si="3"/>
        <v>0</v>
      </c>
      <c r="W11" s="68">
        <f t="shared" si="3"/>
        <v>0</v>
      </c>
      <c r="X11" s="134">
        <f t="shared" si="4"/>
        <v>256284</v>
      </c>
      <c r="AD11" s="163"/>
      <c r="AE11" s="164"/>
      <c r="AF11" s="164"/>
      <c r="AG11" s="164"/>
      <c r="AH11" s="164"/>
      <c r="AI11" s="164"/>
      <c r="AJ11" s="164"/>
      <c r="AK11" s="164"/>
    </row>
    <row r="12" spans="1:37" ht="15" customHeight="1">
      <c r="A12" s="286"/>
      <c r="B12" s="286"/>
      <c r="C12" s="286"/>
      <c r="D12" s="286"/>
      <c r="E12" s="286"/>
      <c r="F12" s="286"/>
      <c r="G12" s="286"/>
      <c r="H12" s="286"/>
      <c r="I12" s="286"/>
      <c r="J12" s="286"/>
      <c r="K12" s="286"/>
      <c r="L12" s="286"/>
      <c r="M12" s="286"/>
      <c r="N12" s="286"/>
      <c r="O12" s="286"/>
      <c r="P12" s="135" t="s">
        <v>33</v>
      </c>
      <c r="Q12" s="68">
        <f t="shared" si="3"/>
        <v>0</v>
      </c>
      <c r="R12" s="68">
        <f t="shared" si="3"/>
        <v>0</v>
      </c>
      <c r="S12" s="68">
        <f t="shared" si="3"/>
        <v>0</v>
      </c>
      <c r="T12" s="68">
        <f t="shared" si="3"/>
        <v>0</v>
      </c>
      <c r="U12" s="68">
        <f t="shared" si="3"/>
        <v>0</v>
      </c>
      <c r="V12" s="68">
        <f t="shared" si="3"/>
        <v>0</v>
      </c>
      <c r="W12" s="68">
        <f t="shared" si="3"/>
        <v>0</v>
      </c>
      <c r="X12" s="134">
        <f t="shared" si="4"/>
        <v>0</v>
      </c>
      <c r="AD12" s="165"/>
      <c r="AE12" s="166"/>
      <c r="AF12" s="166"/>
      <c r="AG12" s="166"/>
      <c r="AH12" s="166"/>
      <c r="AI12" s="166"/>
      <c r="AJ12" s="166"/>
      <c r="AK12" s="166"/>
    </row>
    <row r="13" spans="1:37" ht="15" customHeight="1">
      <c r="A13" s="286"/>
      <c r="B13" s="286"/>
      <c r="C13" s="286"/>
      <c r="D13" s="286"/>
      <c r="E13" s="286"/>
      <c r="F13" s="286"/>
      <c r="G13" s="286"/>
      <c r="H13" s="286"/>
      <c r="I13" s="286"/>
      <c r="J13" s="286"/>
      <c r="K13" s="286"/>
      <c r="L13" s="286"/>
      <c r="M13" s="286"/>
      <c r="N13" s="286"/>
      <c r="O13" s="286"/>
      <c r="P13" s="135" t="s">
        <v>34</v>
      </c>
      <c r="Q13" s="68">
        <f t="shared" si="3"/>
        <v>0</v>
      </c>
      <c r="R13" s="68">
        <f t="shared" si="3"/>
        <v>0</v>
      </c>
      <c r="S13" s="68">
        <f t="shared" si="3"/>
        <v>0</v>
      </c>
      <c r="T13" s="68">
        <f t="shared" si="3"/>
        <v>0</v>
      </c>
      <c r="U13" s="68">
        <f t="shared" si="3"/>
        <v>0</v>
      </c>
      <c r="V13" s="68">
        <f t="shared" si="3"/>
        <v>0</v>
      </c>
      <c r="W13" s="68">
        <f t="shared" si="3"/>
        <v>0</v>
      </c>
      <c r="X13" s="134">
        <f t="shared" si="4"/>
        <v>0</v>
      </c>
      <c r="AD13" s="165"/>
      <c r="AE13" s="166"/>
      <c r="AF13" s="166"/>
      <c r="AG13" s="166"/>
      <c r="AH13" s="166"/>
      <c r="AI13" s="166"/>
      <c r="AJ13" s="166"/>
      <c r="AK13" s="166"/>
    </row>
    <row r="14" spans="1:37" ht="15" customHeight="1">
      <c r="A14" s="286"/>
      <c r="B14" s="286"/>
      <c r="C14" s="286"/>
      <c r="D14" s="286"/>
      <c r="E14" s="286"/>
      <c r="F14" s="286"/>
      <c r="G14" s="286"/>
      <c r="H14" s="286"/>
      <c r="I14" s="286"/>
      <c r="J14" s="286"/>
      <c r="K14" s="286"/>
      <c r="L14" s="286"/>
      <c r="M14" s="286"/>
      <c r="N14" s="286"/>
      <c r="O14" s="286"/>
      <c r="P14" s="136" t="s">
        <v>35</v>
      </c>
      <c r="Q14" s="68">
        <f t="shared" si="3"/>
        <v>0</v>
      </c>
      <c r="R14" s="68">
        <f t="shared" si="3"/>
        <v>0</v>
      </c>
      <c r="S14" s="68">
        <f t="shared" si="3"/>
        <v>0</v>
      </c>
      <c r="T14" s="68">
        <f t="shared" si="3"/>
        <v>0</v>
      </c>
      <c r="U14" s="68">
        <f t="shared" si="3"/>
        <v>0</v>
      </c>
      <c r="V14" s="68">
        <f t="shared" si="3"/>
        <v>0</v>
      </c>
      <c r="W14" s="68">
        <f t="shared" si="3"/>
        <v>0</v>
      </c>
      <c r="X14" s="134">
        <f t="shared" si="4"/>
        <v>0</v>
      </c>
      <c r="AD14" s="165"/>
      <c r="AE14" s="166"/>
      <c r="AF14" s="166"/>
      <c r="AG14" s="166"/>
      <c r="AH14" s="166"/>
      <c r="AI14" s="166"/>
      <c r="AJ14" s="166"/>
      <c r="AK14" s="166"/>
    </row>
    <row r="15" spans="1:37" ht="15" customHeight="1">
      <c r="A15" s="286"/>
      <c r="B15" s="286"/>
      <c r="C15" s="286"/>
      <c r="D15" s="286"/>
      <c r="E15" s="286"/>
      <c r="F15" s="286"/>
      <c r="G15" s="286"/>
      <c r="H15" s="286"/>
      <c r="I15" s="286"/>
      <c r="J15" s="286"/>
      <c r="K15" s="286"/>
      <c r="L15" s="286"/>
      <c r="M15" s="286"/>
      <c r="N15" s="286"/>
      <c r="O15" s="286"/>
      <c r="P15" s="136" t="s">
        <v>36</v>
      </c>
      <c r="Q15" s="68">
        <f t="shared" ref="Q15:W15" si="5">SUMIFS(Q$28:Q$601,$B$28:$B$601,"Coal")+SUMIFS(Q$28:Q$601,$B$28:$B$601,"Petroleum")</f>
        <v>0</v>
      </c>
      <c r="R15" s="68">
        <f t="shared" si="5"/>
        <v>0</v>
      </c>
      <c r="S15" s="68">
        <f t="shared" si="5"/>
        <v>0</v>
      </c>
      <c r="T15" s="68">
        <f t="shared" si="5"/>
        <v>0</v>
      </c>
      <c r="U15" s="68">
        <f t="shared" si="5"/>
        <v>0</v>
      </c>
      <c r="V15" s="68">
        <f t="shared" si="5"/>
        <v>0</v>
      </c>
      <c r="W15" s="68">
        <f t="shared" si="5"/>
        <v>0</v>
      </c>
      <c r="X15" s="134">
        <f>SUMIFS(X$28:X$601,$B$28:$B$601,"Coal")+SUMIFS(X$28:X$601,$B$28:$B$601,"Petroleum")+SUMIFS(Z$28:Z$601,$B$28:$B$601,"Coal")+SUMIFS(Z$28:Z$601,$B$28:$B$601,"Petroleum")</f>
        <v>0</v>
      </c>
      <c r="AD15" s="165"/>
      <c r="AE15" s="166"/>
      <c r="AF15" s="166"/>
      <c r="AG15" s="166"/>
      <c r="AH15" s="166"/>
      <c r="AI15" s="166"/>
      <c r="AJ15" s="166"/>
      <c r="AK15" s="166"/>
    </row>
    <row r="16" spans="1:37" ht="15" customHeight="1">
      <c r="A16" s="286"/>
      <c r="B16" s="286"/>
      <c r="C16" s="286"/>
      <c r="D16" s="286"/>
      <c r="E16" s="286"/>
      <c r="F16" s="286"/>
      <c r="G16" s="286"/>
      <c r="H16" s="286"/>
      <c r="I16" s="286"/>
      <c r="J16" s="286"/>
      <c r="K16" s="286"/>
      <c r="L16" s="286"/>
      <c r="M16" s="286"/>
      <c r="N16" s="286"/>
      <c r="O16" s="286"/>
      <c r="P16" s="136" t="s">
        <v>37</v>
      </c>
      <c r="Q16" s="68">
        <f t="shared" ref="Q16:W17" si="6">SUMIFS(Q$28:Q$601,$B$28:$B$601,$P16)</f>
        <v>0</v>
      </c>
      <c r="R16" s="68">
        <f t="shared" si="6"/>
        <v>0</v>
      </c>
      <c r="S16" s="68">
        <f t="shared" si="6"/>
        <v>0</v>
      </c>
      <c r="T16" s="68">
        <f t="shared" si="6"/>
        <v>0</v>
      </c>
      <c r="U16" s="68">
        <f t="shared" si="6"/>
        <v>0</v>
      </c>
      <c r="V16" s="68">
        <f t="shared" si="6"/>
        <v>0</v>
      </c>
      <c r="W16" s="68">
        <f t="shared" si="6"/>
        <v>0</v>
      </c>
      <c r="X16" s="134">
        <f>SUMIFS(X$28:X$601,$B$28:$B$601,$P16)+SUMIFS(Z$28:Z$601,$B$28:$B$601,$P16)</f>
        <v>0</v>
      </c>
      <c r="AD16" s="165"/>
      <c r="AE16" s="166"/>
      <c r="AF16" s="166"/>
      <c r="AG16" s="166"/>
      <c r="AH16" s="166"/>
      <c r="AI16" s="166"/>
      <c r="AJ16" s="166"/>
      <c r="AK16" s="166"/>
    </row>
    <row r="17" spans="1:44" ht="31.5" customHeight="1">
      <c r="A17" s="286"/>
      <c r="B17" s="286"/>
      <c r="C17" s="286"/>
      <c r="D17" s="286"/>
      <c r="E17" s="286"/>
      <c r="F17" s="286"/>
      <c r="G17" s="286"/>
      <c r="H17" s="286"/>
      <c r="I17" s="286"/>
      <c r="J17" s="286"/>
      <c r="K17" s="286"/>
      <c r="L17" s="286"/>
      <c r="M17" s="286"/>
      <c r="N17" s="286"/>
      <c r="O17" s="286"/>
      <c r="P17" s="136" t="s">
        <v>38</v>
      </c>
      <c r="Q17" s="68">
        <f t="shared" si="6"/>
        <v>0</v>
      </c>
      <c r="R17" s="68">
        <f t="shared" si="6"/>
        <v>0</v>
      </c>
      <c r="S17" s="68">
        <f t="shared" si="6"/>
        <v>0</v>
      </c>
      <c r="T17" s="68">
        <f t="shared" si="6"/>
        <v>0</v>
      </c>
      <c r="U17" s="68">
        <f t="shared" si="6"/>
        <v>0</v>
      </c>
      <c r="V17" s="68">
        <f t="shared" si="6"/>
        <v>0</v>
      </c>
      <c r="W17" s="68">
        <f t="shared" si="6"/>
        <v>0</v>
      </c>
      <c r="X17" s="134">
        <f>SUMIFS(X$28:X$601,$B$28:$B$601,$P17)+SUMIFS(Z$28:Z$601,$B$28:$B$601,$P17)</f>
        <v>0</v>
      </c>
      <c r="AD17" s="165"/>
      <c r="AE17" s="166"/>
      <c r="AF17" s="166"/>
      <c r="AG17" s="166"/>
      <c r="AH17" s="166"/>
      <c r="AI17" s="166"/>
      <c r="AJ17" s="166"/>
      <c r="AK17" s="166"/>
    </row>
    <row r="18" spans="1:44" ht="32.25" customHeight="1">
      <c r="A18" s="286"/>
      <c r="B18" s="286"/>
      <c r="C18" s="286"/>
      <c r="D18" s="286"/>
      <c r="E18" s="286"/>
      <c r="F18" s="286"/>
      <c r="G18" s="286"/>
      <c r="H18" s="286"/>
      <c r="I18" s="286"/>
      <c r="J18" s="286"/>
      <c r="K18" s="286"/>
      <c r="L18" s="286"/>
      <c r="M18" s="286"/>
      <c r="N18" s="286"/>
      <c r="O18" s="286"/>
      <c r="P18" s="136" t="s">
        <v>39</v>
      </c>
      <c r="Q18" s="68">
        <f t="shared" ref="Q18:W18" si="7">Q3-Q4</f>
        <v>0</v>
      </c>
      <c r="R18" s="68">
        <f t="shared" si="7"/>
        <v>0</v>
      </c>
      <c r="S18" s="68">
        <f t="shared" si="7"/>
        <v>0</v>
      </c>
      <c r="T18" s="68">
        <f t="shared" si="7"/>
        <v>0</v>
      </c>
      <c r="U18" s="68">
        <f t="shared" si="7"/>
        <v>0</v>
      </c>
      <c r="V18" s="68">
        <f t="shared" si="7"/>
        <v>0</v>
      </c>
      <c r="W18" s="68">
        <f t="shared" si="7"/>
        <v>0</v>
      </c>
      <c r="X18" s="235">
        <f>(X26+(X26*'Loss Factor Calculator'!B18))+((SUM(Q18:W18)*'Loss Factor Calculator'!B18))</f>
        <v>0</v>
      </c>
      <c r="Y18" s="223"/>
      <c r="AD18" s="165"/>
      <c r="AE18" s="166"/>
      <c r="AF18" s="166"/>
      <c r="AG18" s="166"/>
      <c r="AH18" s="166"/>
      <c r="AI18" s="166"/>
      <c r="AJ18" s="166"/>
      <c r="AK18" s="166"/>
    </row>
    <row r="19" spans="1:44" ht="18" customHeight="1">
      <c r="A19" s="286"/>
      <c r="B19" s="286"/>
      <c r="C19" s="286"/>
      <c r="D19" s="286"/>
      <c r="E19" s="286"/>
      <c r="F19" s="286"/>
      <c r="G19" s="286"/>
      <c r="H19" s="286"/>
      <c r="I19" s="286"/>
      <c r="J19" s="286"/>
      <c r="K19" s="286"/>
      <c r="L19" s="286"/>
      <c r="M19" s="286"/>
      <c r="N19" s="286"/>
      <c r="O19" s="286"/>
      <c r="P19" s="136" t="s">
        <v>40</v>
      </c>
      <c r="Q19" s="68">
        <f t="shared" ref="Q19:W19" si="8">SUM(Q16:Q18)</f>
        <v>0</v>
      </c>
      <c r="R19" s="68">
        <f t="shared" si="8"/>
        <v>0</v>
      </c>
      <c r="S19" s="68">
        <f t="shared" si="8"/>
        <v>0</v>
      </c>
      <c r="T19" s="68">
        <f t="shared" si="8"/>
        <v>0</v>
      </c>
      <c r="U19" s="68">
        <f t="shared" si="8"/>
        <v>0</v>
      </c>
      <c r="V19" s="68">
        <f t="shared" si="8"/>
        <v>0</v>
      </c>
      <c r="W19" s="68">
        <f t="shared" si="8"/>
        <v>0</v>
      </c>
      <c r="X19" s="134">
        <f>SUM(X16:X18)</f>
        <v>0</v>
      </c>
      <c r="AD19" s="165"/>
      <c r="AE19" s="166"/>
      <c r="AF19" s="166"/>
      <c r="AG19" s="166"/>
      <c r="AH19" s="166"/>
      <c r="AI19" s="166"/>
      <c r="AJ19" s="166"/>
      <c r="AK19" s="166"/>
    </row>
    <row r="20" spans="1:44" ht="35.25" customHeight="1">
      <c r="A20" s="286"/>
      <c r="B20" s="286"/>
      <c r="C20" s="286"/>
      <c r="D20" s="286"/>
      <c r="E20" s="286"/>
      <c r="F20" s="286"/>
      <c r="G20" s="286"/>
      <c r="H20" s="286"/>
      <c r="I20" s="286"/>
      <c r="J20" s="286"/>
      <c r="K20" s="286"/>
      <c r="L20" s="286"/>
      <c r="M20" s="286"/>
      <c r="N20" s="286"/>
      <c r="O20" s="286"/>
      <c r="P20" s="132" t="s">
        <v>41</v>
      </c>
      <c r="Q20" s="68">
        <f t="shared" ref="Q20:X20" si="9">Q18*Unspecified_Power_EF</f>
        <v>0</v>
      </c>
      <c r="R20" s="68">
        <f t="shared" si="9"/>
        <v>0</v>
      </c>
      <c r="S20" s="68">
        <f t="shared" si="9"/>
        <v>0</v>
      </c>
      <c r="T20" s="68">
        <f t="shared" si="9"/>
        <v>0</v>
      </c>
      <c r="U20" s="68">
        <f t="shared" si="9"/>
        <v>0</v>
      </c>
      <c r="V20" s="68">
        <f t="shared" si="9"/>
        <v>0</v>
      </c>
      <c r="W20" s="68">
        <f t="shared" si="9"/>
        <v>0</v>
      </c>
      <c r="X20" s="134">
        <f t="shared" si="9"/>
        <v>0</v>
      </c>
      <c r="AD20" s="167"/>
      <c r="AE20" s="168"/>
      <c r="AF20" s="168"/>
      <c r="AG20" s="168"/>
      <c r="AH20" s="168"/>
      <c r="AI20" s="168"/>
      <c r="AJ20" s="168"/>
      <c r="AK20" s="168"/>
    </row>
    <row r="21" spans="1:44" ht="39" customHeight="1" thickBot="1">
      <c r="A21" s="286"/>
      <c r="B21" s="286"/>
      <c r="C21" s="286"/>
      <c r="D21" s="286"/>
      <c r="E21" s="286"/>
      <c r="F21" s="286"/>
      <c r="G21" s="286"/>
      <c r="H21" s="286"/>
      <c r="I21" s="286"/>
      <c r="J21" s="286"/>
      <c r="K21" s="286"/>
      <c r="L21" s="286"/>
      <c r="M21" s="286"/>
      <c r="N21" s="286"/>
      <c r="O21" s="286"/>
      <c r="P21" s="132" t="s">
        <v>42</v>
      </c>
      <c r="Q21" s="68">
        <f t="shared" ref="Q21:X21" si="10">SUM(AE28:AE601)</f>
        <v>0</v>
      </c>
      <c r="R21" s="68">
        <f t="shared" si="10"/>
        <v>0</v>
      </c>
      <c r="S21" s="68">
        <f t="shared" si="10"/>
        <v>5003.1869000000006</v>
      </c>
      <c r="T21" s="68">
        <f t="shared" si="10"/>
        <v>0</v>
      </c>
      <c r="U21" s="68">
        <f t="shared" si="10"/>
        <v>0</v>
      </c>
      <c r="V21" s="68">
        <f t="shared" si="10"/>
        <v>0</v>
      </c>
      <c r="W21" s="68">
        <f t="shared" si="10"/>
        <v>0</v>
      </c>
      <c r="X21" s="134">
        <f t="shared" si="10"/>
        <v>0</v>
      </c>
    </row>
    <row r="22" spans="1:44" ht="24.75" customHeight="1" thickBot="1">
      <c r="A22" s="286"/>
      <c r="B22" s="286"/>
      <c r="C22" s="286"/>
      <c r="D22" s="286"/>
      <c r="E22" s="286"/>
      <c r="F22" s="286"/>
      <c r="G22" s="286"/>
      <c r="H22" s="286"/>
      <c r="I22" s="286"/>
      <c r="J22" s="286"/>
      <c r="K22" s="286"/>
      <c r="L22" s="286"/>
      <c r="M22" s="286"/>
      <c r="N22" s="286"/>
      <c r="O22" s="286"/>
      <c r="P22" s="132" t="s">
        <v>43</v>
      </c>
      <c r="Q22" s="68">
        <f t="shared" ref="Q22:W22" si="11">Q20+Q21</f>
        <v>0</v>
      </c>
      <c r="R22" s="68">
        <f t="shared" si="11"/>
        <v>0</v>
      </c>
      <c r="S22" s="68">
        <f t="shared" si="11"/>
        <v>5003.1869000000006</v>
      </c>
      <c r="T22" s="68">
        <f t="shared" si="11"/>
        <v>0</v>
      </c>
      <c r="U22" s="68">
        <f t="shared" si="11"/>
        <v>0</v>
      </c>
      <c r="V22" s="68">
        <f t="shared" si="11"/>
        <v>0</v>
      </c>
      <c r="W22" s="137">
        <f t="shared" si="11"/>
        <v>0</v>
      </c>
      <c r="X22" s="134">
        <f>X20+X21</f>
        <v>0</v>
      </c>
      <c r="Y22" s="129" t="s">
        <v>44</v>
      </c>
      <c r="AB22" s="127" t="s">
        <v>45</v>
      </c>
    </row>
    <row r="23" spans="1:44" ht="50.25" customHeight="1">
      <c r="A23" s="286"/>
      <c r="B23" s="286"/>
      <c r="C23" s="286"/>
      <c r="D23" s="286"/>
      <c r="E23" s="286"/>
      <c r="F23" s="286"/>
      <c r="G23" s="286"/>
      <c r="H23" s="286"/>
      <c r="I23" s="286"/>
      <c r="J23" s="286"/>
      <c r="K23" s="286"/>
      <c r="L23" s="286"/>
      <c r="M23" s="286"/>
      <c r="N23" s="286"/>
      <c r="O23" s="286"/>
      <c r="P23" s="132" t="s">
        <v>46</v>
      </c>
      <c r="Q23" s="191">
        <f t="shared" ref="Q23:V23" si="12">Q22/Q3</f>
        <v>0</v>
      </c>
      <c r="R23" s="191">
        <f t="shared" si="12"/>
        <v>0</v>
      </c>
      <c r="S23" s="191">
        <f t="shared" si="12"/>
        <v>1.0399782933996561E-3</v>
      </c>
      <c r="T23" s="191">
        <f t="shared" si="12"/>
        <v>0</v>
      </c>
      <c r="U23" s="191" t="e">
        <f t="shared" si="12"/>
        <v>#DIV/0!</v>
      </c>
      <c r="V23" s="191" t="e">
        <f t="shared" si="12"/>
        <v>#DIV/0!</v>
      </c>
      <c r="W23" s="137" t="s">
        <v>47</v>
      </c>
      <c r="X23" s="134" t="s">
        <v>47</v>
      </c>
      <c r="Y23" s="144" t="s">
        <v>48</v>
      </c>
      <c r="AB23" s="50" t="str">
        <f>IF(COUNTIF(Q26:X26,"&lt;0"),"Too much allocated","COMPLETE")</f>
        <v>COMPLETE</v>
      </c>
    </row>
    <row r="24" spans="1:44" ht="47.25" customHeight="1" thickBot="1">
      <c r="A24" s="286"/>
      <c r="B24" s="286"/>
      <c r="C24" s="286"/>
      <c r="D24" s="286"/>
      <c r="E24" s="286"/>
      <c r="F24" s="286"/>
      <c r="G24" s="286"/>
      <c r="H24" s="286"/>
      <c r="I24" s="286"/>
      <c r="J24" s="286"/>
      <c r="K24" s="286"/>
      <c r="L24" s="286"/>
      <c r="M24" s="286"/>
      <c r="N24" s="286"/>
      <c r="O24" s="286"/>
      <c r="P24" s="263" t="s">
        <v>49</v>
      </c>
      <c r="Q24" s="192">
        <f t="shared" ref="Q24:V24" si="13">Q23*2204.62</f>
        <v>0</v>
      </c>
      <c r="R24" s="192">
        <f t="shared" si="13"/>
        <v>0</v>
      </c>
      <c r="S24" s="192">
        <f t="shared" si="13"/>
        <v>2.2927569451947498</v>
      </c>
      <c r="T24" s="192">
        <f t="shared" si="13"/>
        <v>0</v>
      </c>
      <c r="U24" s="192" t="e">
        <f t="shared" si="13"/>
        <v>#DIV/0!</v>
      </c>
      <c r="V24" s="192" t="e">
        <f t="shared" si="13"/>
        <v>#DIV/0!</v>
      </c>
      <c r="W24" s="193" t="s">
        <v>47</v>
      </c>
      <c r="X24" s="143" t="s">
        <v>47</v>
      </c>
      <c r="Y24" s="145" t="s">
        <v>50</v>
      </c>
      <c r="AB24" s="124" t="str">
        <f>IF(AND(SUM(Q26:X26)&gt;0,SUM(AB28:AB601)&gt;0),"Some specified resources have not been allocated","COMPLETE")</f>
        <v>COMPLETE</v>
      </c>
      <c r="AC24" s="222"/>
    </row>
    <row r="25" spans="1:44" ht="32.25" thickTop="1">
      <c r="A25" s="286"/>
      <c r="B25" s="286"/>
      <c r="C25" s="286"/>
      <c r="D25" s="286"/>
      <c r="E25" s="286"/>
      <c r="F25" s="286"/>
      <c r="G25" s="286"/>
      <c r="H25" s="286"/>
      <c r="I25" s="286"/>
      <c r="J25" s="286"/>
      <c r="K25" s="286"/>
      <c r="L25" s="286"/>
      <c r="M25" s="286"/>
      <c r="N25" s="286"/>
      <c r="O25" s="286"/>
      <c r="P25" s="264" t="s">
        <v>51</v>
      </c>
      <c r="Q25" s="194">
        <v>465344.26187000098</v>
      </c>
      <c r="R25" s="194">
        <v>2123.2023100000001</v>
      </c>
      <c r="S25" s="194">
        <f>4837799.53582-T25</f>
        <v>4810857.0455299998</v>
      </c>
      <c r="T25" s="194">
        <v>26942.490290000002</v>
      </c>
      <c r="U25" s="194"/>
      <c r="V25" s="194"/>
      <c r="W25" s="194"/>
      <c r="X25" s="221">
        <f>SUM(Y28:Y601)</f>
        <v>256284</v>
      </c>
      <c r="Y25" s="145" t="s">
        <v>52</v>
      </c>
      <c r="AB25" s="125" t="str">
        <f>IF(SUMIF(B28:B601,"Coal",AB28:AB601)&gt;0,"Allocate Coal","COMPLETE")</f>
        <v>COMPLETE</v>
      </c>
    </row>
    <row r="26" spans="1:44" ht="35.25" customHeight="1" thickBot="1">
      <c r="A26" s="286"/>
      <c r="B26" s="286"/>
      <c r="C26" s="286"/>
      <c r="D26" s="286"/>
      <c r="E26" s="286"/>
      <c r="F26" s="286"/>
      <c r="G26" s="286"/>
      <c r="H26" s="286"/>
      <c r="I26" s="286"/>
      <c r="J26" s="286"/>
      <c r="K26" s="286"/>
      <c r="L26" s="286"/>
      <c r="M26" s="286"/>
      <c r="N26" s="286"/>
      <c r="O26" s="286"/>
      <c r="P26" s="265" t="s">
        <v>53</v>
      </c>
      <c r="Q26" s="148">
        <f t="shared" ref="Q26:W26" si="14">Q25-SUM(Q28:Q601)</f>
        <v>0</v>
      </c>
      <c r="R26" s="148">
        <f t="shared" si="14"/>
        <v>0</v>
      </c>
      <c r="S26" s="148">
        <f t="shared" si="14"/>
        <v>0</v>
      </c>
      <c r="T26" s="148">
        <f t="shared" si="14"/>
        <v>0</v>
      </c>
      <c r="U26" s="148">
        <f t="shared" si="14"/>
        <v>0</v>
      </c>
      <c r="V26" s="148">
        <f t="shared" si="14"/>
        <v>0</v>
      </c>
      <c r="W26" s="148">
        <f t="shared" si="14"/>
        <v>0</v>
      </c>
      <c r="X26" s="149">
        <f>SUM(AA28:AA601)-SUM(X28:X601)</f>
        <v>0</v>
      </c>
      <c r="Y26" s="146" t="s">
        <v>54</v>
      </c>
      <c r="AB26" s="126" t="str">
        <f>IF(COUNTIF(AB28:AB601,"&lt;0"),"Oversupply Negative","COMPLETE")</f>
        <v>COMPLETE</v>
      </c>
      <c r="AD26" s="122" t="s">
        <v>55</v>
      </c>
      <c r="AE26" s="59"/>
      <c r="AF26" s="59"/>
      <c r="AG26" s="59"/>
      <c r="AH26" s="59"/>
      <c r="AI26" s="59"/>
      <c r="AJ26" s="59"/>
      <c r="AK26" s="59"/>
      <c r="AL26" s="59"/>
      <c r="AN26" s="123" t="s">
        <v>56</v>
      </c>
      <c r="AO26" s="7"/>
      <c r="AP26" s="7"/>
      <c r="AQ26" s="7"/>
      <c r="AR26" s="7"/>
    </row>
    <row r="27" spans="1:44" s="37" customFormat="1" ht="87" customHeight="1" thickTop="1" thickBot="1">
      <c r="A27" s="42" t="s">
        <v>57</v>
      </c>
      <c r="B27" s="65" t="s">
        <v>58</v>
      </c>
      <c r="C27" s="65" t="s">
        <v>59</v>
      </c>
      <c r="D27" s="65" t="s">
        <v>60</v>
      </c>
      <c r="E27" s="65" t="s">
        <v>61</v>
      </c>
      <c r="F27" s="65" t="s">
        <v>62</v>
      </c>
      <c r="G27" s="65" t="s">
        <v>63</v>
      </c>
      <c r="H27" s="65" t="s">
        <v>64</v>
      </c>
      <c r="I27" s="65" t="s">
        <v>65</v>
      </c>
      <c r="J27" s="65" t="s">
        <v>66</v>
      </c>
      <c r="K27" s="65" t="s">
        <v>67</v>
      </c>
      <c r="L27" s="67" t="s">
        <v>68</v>
      </c>
      <c r="M27" s="67" t="s">
        <v>69</v>
      </c>
      <c r="N27" s="67" t="s">
        <v>70</v>
      </c>
      <c r="O27" s="65" t="s">
        <v>71</v>
      </c>
      <c r="P27" s="266" t="s">
        <v>72</v>
      </c>
      <c r="Q27" s="262" t="s">
        <v>3788</v>
      </c>
      <c r="R27" s="261" t="s">
        <v>3789</v>
      </c>
      <c r="S27" s="261" t="s">
        <v>3790</v>
      </c>
      <c r="T27" s="261" t="s">
        <v>3791</v>
      </c>
      <c r="U27" s="261" t="s">
        <v>73</v>
      </c>
      <c r="V27" s="261" t="s">
        <v>74</v>
      </c>
      <c r="W27" s="67" t="s">
        <v>22</v>
      </c>
      <c r="X27" s="67" t="s">
        <v>75</v>
      </c>
      <c r="Y27" s="66" t="s">
        <v>76</v>
      </c>
      <c r="Z27" s="66" t="s">
        <v>77</v>
      </c>
      <c r="AA27" s="66" t="s">
        <v>78</v>
      </c>
      <c r="AB27" s="67" t="s">
        <v>79</v>
      </c>
      <c r="AC27" s="58"/>
      <c r="AD27" s="269" t="s">
        <v>57</v>
      </c>
      <c r="AE27" s="270" t="str">
        <f t="shared" ref="AE27:AJ27" si="15">Q27</f>
        <v>Deep Green</v>
      </c>
      <c r="AF27" s="270" t="str">
        <f t="shared" si="15"/>
        <v>LocalSol</v>
      </c>
      <c r="AG27" s="270" t="str">
        <f t="shared" si="15"/>
        <v>LightGreen</v>
      </c>
      <c r="AH27" s="270" t="str">
        <f t="shared" si="15"/>
        <v>GreenAccess</v>
      </c>
      <c r="AI27" s="270" t="str">
        <f t="shared" si="15"/>
        <v>Electricity Portfolio Name 5</v>
      </c>
      <c r="AJ27" s="270" t="str">
        <f t="shared" si="15"/>
        <v>Electricity Portfolio Name 6</v>
      </c>
      <c r="AK27" s="270" t="s">
        <v>80</v>
      </c>
      <c r="AL27" s="271" t="s">
        <v>81</v>
      </c>
      <c r="AN27" s="69" t="s">
        <v>57</v>
      </c>
      <c r="AO27" s="70" t="s">
        <v>58</v>
      </c>
      <c r="AP27" s="70" t="s">
        <v>82</v>
      </c>
      <c r="AQ27" s="70" t="s">
        <v>83</v>
      </c>
      <c r="AR27" s="71" t="s">
        <v>84</v>
      </c>
    </row>
    <row r="28" spans="1:44" ht="15">
      <c r="A28" s="38" t="s">
        <v>3794</v>
      </c>
      <c r="B28" s="38" t="s">
        <v>28</v>
      </c>
      <c r="C28" s="38" t="s">
        <v>3771</v>
      </c>
      <c r="D28" s="38" t="s">
        <v>3795</v>
      </c>
      <c r="E28" s="38" t="s">
        <v>3796</v>
      </c>
      <c r="F28" s="38">
        <v>293</v>
      </c>
      <c r="G28" s="47">
        <f t="shared" ref="G28:G91" si="16">IF(C28="CA",Default_in_state_loss_factor,Default_out_of_state_loss_factor)</f>
        <v>4.3727031303423702E-2</v>
      </c>
      <c r="H28" s="44">
        <v>9930</v>
      </c>
      <c r="I28" s="44"/>
      <c r="J28" s="45">
        <f t="shared" ref="J28:J51" si="17">H28-I28</f>
        <v>9930</v>
      </c>
      <c r="K28" s="38"/>
      <c r="L28" s="38"/>
      <c r="M28" s="38"/>
      <c r="N28" s="34">
        <f>VLOOKUP(F28,'GHG Emissions Factors'!$B$2:$C$4000,2,FALSE)</f>
        <v>0</v>
      </c>
      <c r="O28" s="45">
        <f t="shared" ref="O28:O91" si="18">N28*J28</f>
        <v>0</v>
      </c>
      <c r="P28" s="34">
        <f>IF(L28="yes", 0, _xlfn.XLOOKUP(F28, 'GHG Emissions Factors'!$B$2:$B$4000, 'GHG Emissions Factors'!$D$2:$D$4000, 0))</f>
        <v>0</v>
      </c>
      <c r="Q28" s="46"/>
      <c r="R28" s="46"/>
      <c r="S28" s="46">
        <f>ProcurementAllocationData[[#This Row],[Net MWhs Procured]]-(ProcurementAllocationData[[#This Row],[Deep Green]]+ProcurementAllocationData[[#This Row],[LocalSol]]+ProcurementAllocationData[[#This Row],[GreenAccess]])</f>
        <v>9930</v>
      </c>
      <c r="T28" s="46"/>
      <c r="U28" s="46"/>
      <c r="V28" s="46"/>
      <c r="W28" s="46"/>
      <c r="X28" s="46"/>
      <c r="Y28" s="112">
        <f t="shared" ref="Y28:Y91" si="19">ROUND((SUM(Q28:X28)*G28),0)</f>
        <v>434</v>
      </c>
      <c r="Z28" s="150">
        <f t="shared" ref="Z28:Z91" si="20">IF(M28="Yes",Y28,0)</f>
        <v>0</v>
      </c>
      <c r="AA28" s="150">
        <f t="shared" ref="AA28:AA91" si="21">Y28-Z28</f>
        <v>434</v>
      </c>
      <c r="AB28" s="113">
        <f t="shared" ref="AB28:AB91" si="22">J28-(SUM(Q28:X28))</f>
        <v>0</v>
      </c>
      <c r="AD28" s="272" t="str">
        <f t="shared" ref="AD28:AD91" si="23">IF(ISTEXT(A28),A28,"")</f>
        <v>A. G. Wishon Powerhouse - A. G. Wishon Powerhouse</v>
      </c>
      <c r="AE28" s="273">
        <f t="shared" ref="AE28:AE91" si="24">Q28*$P28</f>
        <v>0</v>
      </c>
      <c r="AF28" s="273">
        <f t="shared" ref="AF28:AF91" si="25">R28*$P28</f>
        <v>0</v>
      </c>
      <c r="AG28" s="273">
        <f t="shared" ref="AG28:AG91" si="26">S28*$P28</f>
        <v>0</v>
      </c>
      <c r="AH28" s="273">
        <f t="shared" ref="AH28:AH91" si="27">T28*$P28</f>
        <v>0</v>
      </c>
      <c r="AI28" s="273">
        <f t="shared" ref="AI28:AI91" si="28">U28*$P28</f>
        <v>0</v>
      </c>
      <c r="AJ28" s="273">
        <f t="shared" ref="AJ28:AJ91" si="29">V28*$P28</f>
        <v>0</v>
      </c>
      <c r="AK28" s="273">
        <f t="shared" ref="AK28:AK91" si="30">W28*$P28</f>
        <v>0</v>
      </c>
      <c r="AL28" s="274">
        <f t="shared" ref="AL28:AL91" si="31">(X28*$P28)+(Z28*$P28)</f>
        <v>0</v>
      </c>
      <c r="AN28" s="75" t="str">
        <f t="shared" ref="AN28:AN91" si="32">IF(AB28&gt;0,A28,"-")</f>
        <v>-</v>
      </c>
      <c r="AO28" s="75" t="str">
        <f t="shared" ref="AO28:AO91" si="33">IF(AB28&gt;0,B28,"-")</f>
        <v>-</v>
      </c>
      <c r="AP28" s="48">
        <f>IF(AB28&gt;0,AB28,0)</f>
        <v>0</v>
      </c>
      <c r="AQ28" s="48">
        <f t="shared" ref="AQ28:AQ91" si="34">AP28*G28</f>
        <v>0</v>
      </c>
      <c r="AR28" s="49">
        <f t="shared" ref="AR28:AR91" si="35">IF(ISNUMBER(AP28),AP28*N28,0)</f>
        <v>0</v>
      </c>
    </row>
    <row r="29" spans="1:44" ht="15">
      <c r="A29" s="38" t="s">
        <v>3797</v>
      </c>
      <c r="B29" s="38" t="s">
        <v>29</v>
      </c>
      <c r="C29" s="38" t="s">
        <v>3798</v>
      </c>
      <c r="D29" s="38" t="s">
        <v>3799</v>
      </c>
      <c r="E29" s="38" t="s">
        <v>3800</v>
      </c>
      <c r="F29" s="38">
        <v>57373</v>
      </c>
      <c r="G29" s="47">
        <f t="shared" si="16"/>
        <v>6.5978850116714893E-2</v>
      </c>
      <c r="H29" s="44">
        <v>1755</v>
      </c>
      <c r="I29" s="44"/>
      <c r="J29" s="45">
        <f t="shared" si="17"/>
        <v>1755</v>
      </c>
      <c r="K29" s="38"/>
      <c r="L29" s="38"/>
      <c r="M29" s="38"/>
      <c r="N29" s="34">
        <f>VLOOKUP(F29,'GHG Emissions Factors'!$B$2:$C$4000,2,FALSE)</f>
        <v>0</v>
      </c>
      <c r="O29" s="45">
        <f>N29*J29</f>
        <v>0</v>
      </c>
      <c r="P29" s="34">
        <f>IF(L29="yes", 0, _xlfn.XLOOKUP(F29, 'GHG Emissions Factors'!$B$2:$B$4000, 'GHG Emissions Factors'!$D$2:$D$4000, 0))</f>
        <v>0</v>
      </c>
      <c r="Q29" s="46"/>
      <c r="R29" s="46"/>
      <c r="S29" s="46">
        <f>ProcurementAllocationData[[#This Row],[Net MWhs Procured]]-(ProcurementAllocationData[[#This Row],[Deep Green]]+ProcurementAllocationData[[#This Row],[LocalSol]]+ProcurementAllocationData[[#This Row],[GreenAccess]])</f>
        <v>1755</v>
      </c>
      <c r="T29" s="46"/>
      <c r="U29" s="46"/>
      <c r="V29" s="46"/>
      <c r="W29" s="46"/>
      <c r="X29" s="46"/>
      <c r="Y29" s="112">
        <f t="shared" si="19"/>
        <v>116</v>
      </c>
      <c r="Z29" s="150">
        <f t="shared" si="20"/>
        <v>0</v>
      </c>
      <c r="AA29" s="150">
        <f t="shared" si="21"/>
        <v>116</v>
      </c>
      <c r="AB29" s="113">
        <f t="shared" si="22"/>
        <v>0</v>
      </c>
      <c r="AD29" s="272" t="str">
        <f t="shared" si="23"/>
        <v>Agua Caliente Solar - Block 1</v>
      </c>
      <c r="AE29" s="273">
        <f t="shared" si="24"/>
        <v>0</v>
      </c>
      <c r="AF29" s="273">
        <f t="shared" si="25"/>
        <v>0</v>
      </c>
      <c r="AG29" s="273">
        <f t="shared" si="26"/>
        <v>0</v>
      </c>
      <c r="AH29" s="273">
        <f t="shared" si="27"/>
        <v>0</v>
      </c>
      <c r="AI29" s="273">
        <f t="shared" si="28"/>
        <v>0</v>
      </c>
      <c r="AJ29" s="273">
        <f t="shared" si="29"/>
        <v>0</v>
      </c>
      <c r="AK29" s="273">
        <f t="shared" si="30"/>
        <v>0</v>
      </c>
      <c r="AL29" s="274">
        <f t="shared" si="31"/>
        <v>0</v>
      </c>
      <c r="AN29" s="75" t="str">
        <f t="shared" si="32"/>
        <v>-</v>
      </c>
      <c r="AO29" s="75" t="str">
        <f t="shared" si="33"/>
        <v>-</v>
      </c>
      <c r="AP29" s="48">
        <f t="shared" ref="AP29:AP92" si="36">IF(AB29&gt;0,AB29,0)</f>
        <v>0</v>
      </c>
      <c r="AQ29" s="48">
        <f t="shared" si="34"/>
        <v>0</v>
      </c>
      <c r="AR29" s="49">
        <f t="shared" si="35"/>
        <v>0</v>
      </c>
    </row>
    <row r="30" spans="1:44" ht="15">
      <c r="A30" s="38" t="s">
        <v>3801</v>
      </c>
      <c r="B30" s="38" t="s">
        <v>29</v>
      </c>
      <c r="C30" s="38" t="s">
        <v>3798</v>
      </c>
      <c r="D30" s="38" t="s">
        <v>3802</v>
      </c>
      <c r="E30" s="38" t="s">
        <v>3800</v>
      </c>
      <c r="F30" s="38">
        <v>57373</v>
      </c>
      <c r="G30" s="47">
        <f t="shared" si="16"/>
        <v>6.5978850116714893E-2</v>
      </c>
      <c r="H30" s="44">
        <v>1755</v>
      </c>
      <c r="I30" s="44"/>
      <c r="J30" s="45">
        <f t="shared" si="17"/>
        <v>1755</v>
      </c>
      <c r="K30" s="38"/>
      <c r="L30" s="38"/>
      <c r="M30" s="38"/>
      <c r="N30" s="34">
        <f>VLOOKUP(F30,'GHG Emissions Factors'!$B$2:$C$4000,2,FALSE)</f>
        <v>0</v>
      </c>
      <c r="O30" s="45">
        <f t="shared" si="18"/>
        <v>0</v>
      </c>
      <c r="P30" s="34">
        <f>IF(L30="yes", 0, _xlfn.XLOOKUP(F30, 'GHG Emissions Factors'!$B$2:$B$4000, 'GHG Emissions Factors'!$D$2:$D$4000, 0))</f>
        <v>0</v>
      </c>
      <c r="Q30" s="46"/>
      <c r="R30" s="46"/>
      <c r="S30" s="46">
        <f>ProcurementAllocationData[[#This Row],[Net MWhs Procured]]-(ProcurementAllocationData[[#This Row],[Deep Green]]+ProcurementAllocationData[[#This Row],[LocalSol]]+ProcurementAllocationData[[#This Row],[GreenAccess]])</f>
        <v>1755</v>
      </c>
      <c r="T30" s="46"/>
      <c r="U30" s="46"/>
      <c r="V30" s="46"/>
      <c r="W30" s="46"/>
      <c r="X30" s="46"/>
      <c r="Y30" s="112">
        <f t="shared" si="19"/>
        <v>116</v>
      </c>
      <c r="Z30" s="150">
        <f t="shared" si="20"/>
        <v>0</v>
      </c>
      <c r="AA30" s="150">
        <f t="shared" si="21"/>
        <v>116</v>
      </c>
      <c r="AB30" s="113">
        <f t="shared" si="22"/>
        <v>0</v>
      </c>
      <c r="AD30" s="272" t="str">
        <f t="shared" si="23"/>
        <v>Agua Caliente Solar - Block 2</v>
      </c>
      <c r="AE30" s="273">
        <f t="shared" si="24"/>
        <v>0</v>
      </c>
      <c r="AF30" s="273">
        <f t="shared" si="25"/>
        <v>0</v>
      </c>
      <c r="AG30" s="273">
        <f t="shared" si="26"/>
        <v>0</v>
      </c>
      <c r="AH30" s="273">
        <f t="shared" si="27"/>
        <v>0</v>
      </c>
      <c r="AI30" s="273">
        <f t="shared" si="28"/>
        <v>0</v>
      </c>
      <c r="AJ30" s="273">
        <f t="shared" si="29"/>
        <v>0</v>
      </c>
      <c r="AK30" s="273">
        <f t="shared" si="30"/>
        <v>0</v>
      </c>
      <c r="AL30" s="274">
        <f t="shared" si="31"/>
        <v>0</v>
      </c>
      <c r="AN30" s="75" t="str">
        <f t="shared" si="32"/>
        <v>-</v>
      </c>
      <c r="AO30" s="75" t="str">
        <f t="shared" si="33"/>
        <v>-</v>
      </c>
      <c r="AP30" s="48">
        <f t="shared" si="36"/>
        <v>0</v>
      </c>
      <c r="AQ30" s="48">
        <f t="shared" si="34"/>
        <v>0</v>
      </c>
      <c r="AR30" s="49">
        <f t="shared" si="35"/>
        <v>0</v>
      </c>
    </row>
    <row r="31" spans="1:44" ht="15.75" customHeight="1">
      <c r="A31" s="259" t="s">
        <v>3803</v>
      </c>
      <c r="B31" s="38" t="s">
        <v>28</v>
      </c>
      <c r="C31" s="38" t="s">
        <v>3771</v>
      </c>
      <c r="D31" s="38" t="s">
        <v>3804</v>
      </c>
      <c r="E31" s="38" t="s">
        <v>3805</v>
      </c>
      <c r="F31" s="260">
        <v>214</v>
      </c>
      <c r="G31" s="47">
        <f t="shared" si="16"/>
        <v>4.3727031303423702E-2</v>
      </c>
      <c r="H31" s="44">
        <v>146</v>
      </c>
      <c r="I31" s="44"/>
      <c r="J31" s="45">
        <f t="shared" si="17"/>
        <v>146</v>
      </c>
      <c r="K31" s="38"/>
      <c r="L31" s="38"/>
      <c r="M31" s="38"/>
      <c r="N31" s="34">
        <f>VLOOKUP(F31,'GHG Emissions Factors'!$B$2:$C$4000,2,FALSE)</f>
        <v>0</v>
      </c>
      <c r="O31" s="45">
        <f t="shared" si="18"/>
        <v>0</v>
      </c>
      <c r="P31" s="34">
        <f>IF(L31="yes", 0, _xlfn.XLOOKUP(F31, 'GHG Emissions Factors'!$B$2:$B$4000, 'GHG Emissions Factors'!$D$2:$D$4000, 0))</f>
        <v>0</v>
      </c>
      <c r="Q31" s="46"/>
      <c r="R31" s="46"/>
      <c r="S31" s="46">
        <f>ProcurementAllocationData[[#This Row],[Net MWhs Procured]]-(ProcurementAllocationData[[#This Row],[Deep Green]]+ProcurementAllocationData[[#This Row],[LocalSol]]+ProcurementAllocationData[[#This Row],[GreenAccess]])</f>
        <v>146</v>
      </c>
      <c r="T31" s="46"/>
      <c r="U31" s="46"/>
      <c r="V31" s="46"/>
      <c r="W31" s="46"/>
      <c r="X31" s="46"/>
      <c r="Y31" s="112">
        <f t="shared" si="19"/>
        <v>6</v>
      </c>
      <c r="Z31" s="150">
        <f t="shared" si="20"/>
        <v>0</v>
      </c>
      <c r="AA31" s="150">
        <f t="shared" si="21"/>
        <v>6</v>
      </c>
      <c r="AB31" s="113">
        <f t="shared" si="22"/>
        <v>0</v>
      </c>
      <c r="AD31" s="272" t="str">
        <f t="shared" si="23"/>
        <v>Alta Powerhouse - Alta Powerhouse</v>
      </c>
      <c r="AE31" s="273">
        <f t="shared" si="24"/>
        <v>0</v>
      </c>
      <c r="AF31" s="273">
        <f t="shared" si="25"/>
        <v>0</v>
      </c>
      <c r="AG31" s="273">
        <f t="shared" si="26"/>
        <v>0</v>
      </c>
      <c r="AH31" s="273">
        <f t="shared" si="27"/>
        <v>0</v>
      </c>
      <c r="AI31" s="273">
        <f t="shared" si="28"/>
        <v>0</v>
      </c>
      <c r="AJ31" s="273">
        <f t="shared" si="29"/>
        <v>0</v>
      </c>
      <c r="AK31" s="273">
        <f t="shared" si="30"/>
        <v>0</v>
      </c>
      <c r="AL31" s="274">
        <f t="shared" si="31"/>
        <v>0</v>
      </c>
      <c r="AN31" s="75" t="str">
        <f t="shared" si="32"/>
        <v>-</v>
      </c>
      <c r="AO31" s="75" t="str">
        <f t="shared" si="33"/>
        <v>-</v>
      </c>
      <c r="AP31" s="48">
        <f t="shared" si="36"/>
        <v>0</v>
      </c>
      <c r="AQ31" s="48">
        <f t="shared" si="34"/>
        <v>0</v>
      </c>
      <c r="AR31" s="49">
        <f t="shared" si="35"/>
        <v>0</v>
      </c>
    </row>
    <row r="32" spans="1:44" ht="15.75" customHeight="1">
      <c r="A32" s="38" t="s">
        <v>3806</v>
      </c>
      <c r="B32" s="38" t="s">
        <v>29</v>
      </c>
      <c r="C32" s="38" t="s">
        <v>3771</v>
      </c>
      <c r="D32" s="38" t="s">
        <v>3807</v>
      </c>
      <c r="E32" s="38" t="s">
        <v>3808</v>
      </c>
      <c r="F32" s="260">
        <v>62687</v>
      </c>
      <c r="G32" s="47">
        <f t="shared" si="16"/>
        <v>4.3727031303423702E-2</v>
      </c>
      <c r="H32" s="44">
        <v>2173</v>
      </c>
      <c r="I32" s="44"/>
      <c r="J32" s="45">
        <f t="shared" si="17"/>
        <v>2173</v>
      </c>
      <c r="K32" s="38"/>
      <c r="L32" s="38"/>
      <c r="M32" s="38"/>
      <c r="N32" s="34">
        <f>VLOOKUP(F32,'GHG Emissions Factors'!$B$2:$C$4000,2,FALSE)</f>
        <v>0</v>
      </c>
      <c r="O32" s="45">
        <f t="shared" si="18"/>
        <v>0</v>
      </c>
      <c r="P32" s="34">
        <f>IF(L32="yes", 0, _xlfn.XLOOKUP(F32, 'GHG Emissions Factors'!$B$2:$B$4000, 'GHG Emissions Factors'!$D$2:$D$4000, 0))</f>
        <v>0</v>
      </c>
      <c r="Q32" s="46"/>
      <c r="R32" s="46"/>
      <c r="S32" s="46">
        <f>ProcurementAllocationData[[#This Row],[Net MWhs Procured]]-(ProcurementAllocationData[[#This Row],[Deep Green]]+ProcurementAllocationData[[#This Row],[LocalSol]]+ProcurementAllocationData[[#This Row],[GreenAccess]])</f>
        <v>2173</v>
      </c>
      <c r="T32" s="46"/>
      <c r="U32" s="46"/>
      <c r="V32" s="46"/>
      <c r="W32" s="46"/>
      <c r="X32" s="46"/>
      <c r="Y32" s="112">
        <f t="shared" si="19"/>
        <v>95</v>
      </c>
      <c r="Z32" s="150">
        <f t="shared" si="20"/>
        <v>0</v>
      </c>
      <c r="AA32" s="150">
        <f t="shared" si="21"/>
        <v>95</v>
      </c>
      <c r="AB32" s="113">
        <f t="shared" si="22"/>
        <v>0</v>
      </c>
      <c r="AD32" s="272" t="str">
        <f t="shared" si="23"/>
        <v>American Canyon Solar A - AC Solar A</v>
      </c>
      <c r="AE32" s="273">
        <f t="shared" si="24"/>
        <v>0</v>
      </c>
      <c r="AF32" s="273">
        <f t="shared" si="25"/>
        <v>0</v>
      </c>
      <c r="AG32" s="273">
        <f t="shared" si="26"/>
        <v>0</v>
      </c>
      <c r="AH32" s="273">
        <f t="shared" si="27"/>
        <v>0</v>
      </c>
      <c r="AI32" s="273">
        <f>U32*$P32</f>
        <v>0</v>
      </c>
      <c r="AJ32" s="273">
        <f t="shared" si="29"/>
        <v>0</v>
      </c>
      <c r="AK32" s="273">
        <f t="shared" si="30"/>
        <v>0</v>
      </c>
      <c r="AL32" s="274">
        <f t="shared" si="31"/>
        <v>0</v>
      </c>
      <c r="AN32" s="75" t="str">
        <f t="shared" si="32"/>
        <v>-</v>
      </c>
      <c r="AO32" s="75" t="str">
        <f t="shared" si="33"/>
        <v>-</v>
      </c>
      <c r="AP32" s="48">
        <f t="shared" si="36"/>
        <v>0</v>
      </c>
      <c r="AQ32" s="48">
        <f t="shared" si="34"/>
        <v>0</v>
      </c>
      <c r="AR32" s="49">
        <f t="shared" si="35"/>
        <v>0</v>
      </c>
    </row>
    <row r="33" spans="1:44" ht="15.75" customHeight="1">
      <c r="A33" s="38" t="s">
        <v>3809</v>
      </c>
      <c r="B33" s="38" t="s">
        <v>29</v>
      </c>
      <c r="C33" s="38" t="s">
        <v>3771</v>
      </c>
      <c r="D33" s="38" t="s">
        <v>3810</v>
      </c>
      <c r="E33" s="38" t="s">
        <v>3811</v>
      </c>
      <c r="F33" s="38">
        <v>62687</v>
      </c>
      <c r="G33" s="47">
        <f t="shared" si="16"/>
        <v>4.3727031303423702E-2</v>
      </c>
      <c r="H33" s="44">
        <v>2019</v>
      </c>
      <c r="I33" s="44"/>
      <c r="J33" s="45">
        <f t="shared" si="17"/>
        <v>2019</v>
      </c>
      <c r="L33" s="38"/>
      <c r="M33" s="38"/>
      <c r="N33" s="34">
        <f>VLOOKUP(F33,'GHG Emissions Factors'!$B$2:$C$4000,2,FALSE)</f>
        <v>0</v>
      </c>
      <c r="O33" s="45">
        <f t="shared" si="18"/>
        <v>0</v>
      </c>
      <c r="P33" s="34">
        <f>IF(L33="yes", 0, _xlfn.XLOOKUP(F33, 'GHG Emissions Factors'!$B$2:$B$4000, 'GHG Emissions Factors'!$D$2:$D$4000, 0))</f>
        <v>0</v>
      </c>
      <c r="Q33" s="46"/>
      <c r="R33" s="46"/>
      <c r="S33" s="46">
        <f>ProcurementAllocationData[[#This Row],[Net MWhs Procured]]-(ProcurementAllocationData[[#This Row],[Deep Green]]+ProcurementAllocationData[[#This Row],[LocalSol]]+ProcurementAllocationData[[#This Row],[GreenAccess]])</f>
        <v>2019</v>
      </c>
      <c r="T33" s="46"/>
      <c r="U33" s="46"/>
      <c r="V33" s="46"/>
      <c r="W33" s="46"/>
      <c r="X33" s="46"/>
      <c r="Y33" s="112">
        <f t="shared" si="19"/>
        <v>88</v>
      </c>
      <c r="Z33" s="150">
        <f t="shared" si="20"/>
        <v>0</v>
      </c>
      <c r="AA33" s="150">
        <f t="shared" si="21"/>
        <v>88</v>
      </c>
      <c r="AB33" s="113">
        <f t="shared" si="22"/>
        <v>0</v>
      </c>
      <c r="AD33" s="272" t="str">
        <f t="shared" si="23"/>
        <v>American Canyon Solar B - AC Solar B</v>
      </c>
      <c r="AE33" s="273">
        <f t="shared" si="24"/>
        <v>0</v>
      </c>
      <c r="AF33" s="273">
        <f t="shared" si="25"/>
        <v>0</v>
      </c>
      <c r="AG33" s="273">
        <f t="shared" si="26"/>
        <v>0</v>
      </c>
      <c r="AH33" s="273">
        <f t="shared" si="27"/>
        <v>0</v>
      </c>
      <c r="AI33" s="273">
        <f>U33*$P33</f>
        <v>0</v>
      </c>
      <c r="AJ33" s="273">
        <f t="shared" si="29"/>
        <v>0</v>
      </c>
      <c r="AK33" s="273">
        <f t="shared" si="30"/>
        <v>0</v>
      </c>
      <c r="AL33" s="274">
        <f t="shared" si="31"/>
        <v>0</v>
      </c>
      <c r="AN33" s="75" t="str">
        <f t="shared" si="32"/>
        <v>-</v>
      </c>
      <c r="AO33" s="75" t="str">
        <f t="shared" si="33"/>
        <v>-</v>
      </c>
      <c r="AP33" s="48">
        <f t="shared" si="36"/>
        <v>0</v>
      </c>
      <c r="AQ33" s="48">
        <f t="shared" si="34"/>
        <v>0</v>
      </c>
      <c r="AR33" s="49">
        <f t="shared" si="35"/>
        <v>0</v>
      </c>
    </row>
    <row r="34" spans="1:44" ht="15">
      <c r="A34" s="39" t="s">
        <v>3812</v>
      </c>
      <c r="B34" s="38" t="s">
        <v>29</v>
      </c>
      <c r="C34" s="38" t="s">
        <v>3771</v>
      </c>
      <c r="D34" s="38" t="s">
        <v>3813</v>
      </c>
      <c r="E34" s="38" t="s">
        <v>3814</v>
      </c>
      <c r="F34" s="38">
        <v>62687</v>
      </c>
      <c r="G34" s="47">
        <f t="shared" si="16"/>
        <v>4.3727031303423702E-2</v>
      </c>
      <c r="H34" s="44">
        <v>1706</v>
      </c>
      <c r="I34" s="44"/>
      <c r="J34" s="45">
        <f t="shared" si="17"/>
        <v>1706</v>
      </c>
      <c r="K34" s="38"/>
      <c r="L34" s="38"/>
      <c r="M34" s="38"/>
      <c r="N34" s="34">
        <f>VLOOKUP(F34,'GHG Emissions Factors'!$B$2:$C$4000,2,FALSE)</f>
        <v>0</v>
      </c>
      <c r="O34" s="45">
        <f t="shared" si="18"/>
        <v>0</v>
      </c>
      <c r="P34" s="34">
        <f>IF(L34="yes", 0, _xlfn.XLOOKUP(F34, 'GHG Emissions Factors'!$B$2:$B$4000, 'GHG Emissions Factors'!$D$2:$D$4000, 0))</f>
        <v>0</v>
      </c>
      <c r="Q34" s="46"/>
      <c r="R34" s="46"/>
      <c r="S34" s="46">
        <f>ProcurementAllocationData[[#This Row],[Net MWhs Procured]]-(ProcurementAllocationData[[#This Row],[Deep Green]]+ProcurementAllocationData[[#This Row],[LocalSol]]+ProcurementAllocationData[[#This Row],[GreenAccess]])</f>
        <v>1706</v>
      </c>
      <c r="T34" s="46"/>
      <c r="U34" s="46"/>
      <c r="V34" s="46"/>
      <c r="W34" s="46"/>
      <c r="X34" s="46"/>
      <c r="Y34" s="112">
        <f>ROUND((SUM(Q34:X34)*G34),0)</f>
        <v>75</v>
      </c>
      <c r="Z34" s="150">
        <f t="shared" si="20"/>
        <v>0</v>
      </c>
      <c r="AA34" s="150">
        <f t="shared" si="21"/>
        <v>75</v>
      </c>
      <c r="AB34" s="113">
        <f t="shared" si="22"/>
        <v>0</v>
      </c>
      <c r="AD34" s="272" t="str">
        <f t="shared" si="23"/>
        <v>American Canyon Solar C - AC Solar C</v>
      </c>
      <c r="AE34" s="273">
        <f t="shared" si="24"/>
        <v>0</v>
      </c>
      <c r="AF34" s="273">
        <f t="shared" si="25"/>
        <v>0</v>
      </c>
      <c r="AG34" s="273">
        <f t="shared" si="26"/>
        <v>0</v>
      </c>
      <c r="AH34" s="273">
        <f t="shared" si="27"/>
        <v>0</v>
      </c>
      <c r="AI34" s="273">
        <f>U34*$P34</f>
        <v>0</v>
      </c>
      <c r="AJ34" s="273">
        <f t="shared" si="29"/>
        <v>0</v>
      </c>
      <c r="AK34" s="273">
        <f t="shared" si="30"/>
        <v>0</v>
      </c>
      <c r="AL34" s="274">
        <f t="shared" si="31"/>
        <v>0</v>
      </c>
      <c r="AN34" s="75" t="str">
        <f t="shared" si="32"/>
        <v>-</v>
      </c>
      <c r="AO34" s="75" t="str">
        <f t="shared" si="33"/>
        <v>-</v>
      </c>
      <c r="AP34" s="48">
        <f t="shared" si="36"/>
        <v>0</v>
      </c>
      <c r="AQ34" s="48">
        <f t="shared" si="34"/>
        <v>0</v>
      </c>
      <c r="AR34" s="49">
        <f t="shared" si="35"/>
        <v>0</v>
      </c>
    </row>
    <row r="35" spans="1:44" ht="15.75" customHeight="1">
      <c r="A35" s="40" t="s">
        <v>3815</v>
      </c>
      <c r="B35" s="38" t="s">
        <v>29</v>
      </c>
      <c r="C35" s="38" t="s">
        <v>3771</v>
      </c>
      <c r="D35" s="38" t="s">
        <v>3816</v>
      </c>
      <c r="E35" s="38" t="s">
        <v>3817</v>
      </c>
      <c r="F35" s="38">
        <v>61264</v>
      </c>
      <c r="G35" s="47">
        <f t="shared" si="16"/>
        <v>4.3727031303423702E-2</v>
      </c>
      <c r="H35" s="44">
        <v>263754</v>
      </c>
      <c r="I35" s="44"/>
      <c r="J35" s="45">
        <f t="shared" si="17"/>
        <v>263754</v>
      </c>
      <c r="K35" s="38"/>
      <c r="L35" s="38"/>
      <c r="M35" s="38"/>
      <c r="N35" s="34">
        <f>VLOOKUP(F35,'GHG Emissions Factors'!$B$2:$C$4000,2,FALSE)</f>
        <v>0</v>
      </c>
      <c r="O35" s="45">
        <f t="shared" si="18"/>
        <v>0</v>
      </c>
      <c r="P35" s="34">
        <f>IF(L35="yes", 0, _xlfn.XLOOKUP(F35, 'GHG Emissions Factors'!$B$2:$B$4000, 'GHG Emissions Factors'!$D$2:$D$4000, 0))</f>
        <v>0</v>
      </c>
      <c r="Q35" s="46"/>
      <c r="R35" s="46"/>
      <c r="S35" s="46">
        <f>ProcurementAllocationData[[#This Row],[Net MWhs Procured]]-(ProcurementAllocationData[[#This Row],[Deep Green]]+ProcurementAllocationData[[#This Row],[LocalSol]]+ProcurementAllocationData[[#This Row],[GreenAccess]])</f>
        <v>263754</v>
      </c>
      <c r="T35" s="46"/>
      <c r="U35" s="46"/>
      <c r="V35" s="46"/>
      <c r="W35" s="46"/>
      <c r="X35" s="46"/>
      <c r="Y35" s="112">
        <f t="shared" si="19"/>
        <v>11533</v>
      </c>
      <c r="Z35" s="150">
        <f t="shared" si="20"/>
        <v>0</v>
      </c>
      <c r="AA35" s="150">
        <f t="shared" si="21"/>
        <v>11533</v>
      </c>
      <c r="AB35" s="113">
        <f t="shared" si="22"/>
        <v>0</v>
      </c>
      <c r="AD35" s="272" t="str">
        <f t="shared" si="23"/>
        <v>Antelope Expansion 2 - Antelope Expansion 2</v>
      </c>
      <c r="AE35" s="273">
        <f t="shared" si="24"/>
        <v>0</v>
      </c>
      <c r="AF35" s="273">
        <f t="shared" si="25"/>
        <v>0</v>
      </c>
      <c r="AG35" s="273">
        <f t="shared" si="26"/>
        <v>0</v>
      </c>
      <c r="AH35" s="273">
        <f t="shared" si="27"/>
        <v>0</v>
      </c>
      <c r="AI35" s="273">
        <f t="shared" si="28"/>
        <v>0</v>
      </c>
      <c r="AJ35" s="273">
        <f t="shared" si="29"/>
        <v>0</v>
      </c>
      <c r="AK35" s="273">
        <f t="shared" si="30"/>
        <v>0</v>
      </c>
      <c r="AL35" s="274">
        <f t="shared" si="31"/>
        <v>0</v>
      </c>
      <c r="AN35" s="75" t="str">
        <f t="shared" si="32"/>
        <v>-</v>
      </c>
      <c r="AO35" s="75" t="str">
        <f t="shared" si="33"/>
        <v>-</v>
      </c>
      <c r="AP35" s="48">
        <f t="shared" si="36"/>
        <v>0</v>
      </c>
      <c r="AQ35" s="48">
        <f t="shared" si="34"/>
        <v>0</v>
      </c>
      <c r="AR35" s="49">
        <f t="shared" si="35"/>
        <v>0</v>
      </c>
    </row>
    <row r="36" spans="1:44" ht="15">
      <c r="A36" s="38" t="s">
        <v>3818</v>
      </c>
      <c r="B36" s="38" t="s">
        <v>29</v>
      </c>
      <c r="C36" s="38" t="s">
        <v>3771</v>
      </c>
      <c r="D36" s="38" t="s">
        <v>3819</v>
      </c>
      <c r="E36" s="38" t="s">
        <v>3820</v>
      </c>
      <c r="F36" s="38">
        <v>65744</v>
      </c>
      <c r="G36" s="47">
        <f t="shared" si="16"/>
        <v>4.3727031303423702E-2</v>
      </c>
      <c r="H36" s="44">
        <v>313748</v>
      </c>
      <c r="I36" s="44">
        <v>59353</v>
      </c>
      <c r="J36" s="45">
        <f t="shared" si="17"/>
        <v>254395</v>
      </c>
      <c r="K36" s="38"/>
      <c r="L36" s="38"/>
      <c r="M36" s="38"/>
      <c r="N36" s="34">
        <f>VLOOKUP(F36,'GHG Emissions Factors'!$B$2:$C$4000,2,FALSE)</f>
        <v>0</v>
      </c>
      <c r="O36" s="45">
        <f t="shared" si="18"/>
        <v>0</v>
      </c>
      <c r="P36" s="34">
        <f>IF(L36="yes", 0, _xlfn.XLOOKUP(F36, 'GHG Emissions Factors'!$B$2:$B$4000, 'GHG Emissions Factors'!$D$2:$D$4000, 0))</f>
        <v>0</v>
      </c>
      <c r="Q36" s="46">
        <v>232672.26187000101</v>
      </c>
      <c r="R36" s="46"/>
      <c r="S36" s="46">
        <f>ProcurementAllocationData[[#This Row],[Net MWhs Procured]]-(ProcurementAllocationData[[#This Row],[Deep Green]]+ProcurementAllocationData[[#This Row],[LocalSol]]+ProcurementAllocationData[[#This Row],[GreenAccess]])</f>
        <v>21722.738129998994</v>
      </c>
      <c r="T36" s="46"/>
      <c r="U36" s="46"/>
      <c r="V36" s="46"/>
      <c r="W36" s="46"/>
      <c r="X36" s="46"/>
      <c r="Y36" s="112">
        <f t="shared" si="19"/>
        <v>11124</v>
      </c>
      <c r="Z36" s="150">
        <f t="shared" si="20"/>
        <v>0</v>
      </c>
      <c r="AA36" s="150">
        <f t="shared" si="21"/>
        <v>11124</v>
      </c>
      <c r="AB36" s="113">
        <f t="shared" si="22"/>
        <v>0</v>
      </c>
      <c r="AD36" s="272" t="str">
        <f t="shared" si="23"/>
        <v>Arica Solar, LLC - PCE/MCE</v>
      </c>
      <c r="AE36" s="273">
        <f t="shared" si="24"/>
        <v>0</v>
      </c>
      <c r="AF36" s="273">
        <f t="shared" si="25"/>
        <v>0</v>
      </c>
      <c r="AG36" s="273">
        <f t="shared" si="26"/>
        <v>0</v>
      </c>
      <c r="AH36" s="273">
        <f t="shared" si="27"/>
        <v>0</v>
      </c>
      <c r="AI36" s="273">
        <f t="shared" si="28"/>
        <v>0</v>
      </c>
      <c r="AJ36" s="273">
        <f t="shared" si="29"/>
        <v>0</v>
      </c>
      <c r="AK36" s="273">
        <f t="shared" si="30"/>
        <v>0</v>
      </c>
      <c r="AL36" s="274">
        <f t="shared" si="31"/>
        <v>0</v>
      </c>
      <c r="AN36" s="75" t="str">
        <f t="shared" si="32"/>
        <v>-</v>
      </c>
      <c r="AO36" s="75" t="str">
        <f t="shared" si="33"/>
        <v>-</v>
      </c>
      <c r="AP36" s="48">
        <f t="shared" si="36"/>
        <v>0</v>
      </c>
      <c r="AQ36" s="48">
        <f t="shared" si="34"/>
        <v>0</v>
      </c>
      <c r="AR36" s="49">
        <f t="shared" si="35"/>
        <v>0</v>
      </c>
    </row>
    <row r="37" spans="1:44" ht="15.75" customHeight="1">
      <c r="A37" s="38" t="s">
        <v>3821</v>
      </c>
      <c r="B37" s="38" t="s">
        <v>29</v>
      </c>
      <c r="C37" s="38" t="s">
        <v>3771</v>
      </c>
      <c r="D37" s="38" t="s">
        <v>3822</v>
      </c>
      <c r="E37" s="38" t="s">
        <v>3823</v>
      </c>
      <c r="F37" s="38">
        <v>57359</v>
      </c>
      <c r="G37" s="47">
        <f t="shared" si="16"/>
        <v>4.3727031303423702E-2</v>
      </c>
      <c r="H37" s="44">
        <v>3106</v>
      </c>
      <c r="I37" s="44"/>
      <c r="J37" s="45">
        <f t="shared" si="17"/>
        <v>3106</v>
      </c>
      <c r="K37" s="38"/>
      <c r="L37" s="38"/>
      <c r="M37" s="38"/>
      <c r="N37" s="34">
        <f>VLOOKUP(F37,'GHG Emissions Factors'!$B$2:$C$4000,2,FALSE)</f>
        <v>0</v>
      </c>
      <c r="O37" s="45">
        <f t="shared" si="18"/>
        <v>0</v>
      </c>
      <c r="P37" s="34">
        <f>IF(L37="yes", 0, _xlfn.XLOOKUP(F37, 'GHG Emissions Factors'!$B$2:$B$4000, 'GHG Emissions Factors'!$D$2:$D$4000, 0))</f>
        <v>0</v>
      </c>
      <c r="Q37" s="46"/>
      <c r="R37" s="46"/>
      <c r="S37" s="46">
        <f>ProcurementAllocationData[[#This Row],[Net MWhs Procured]]-(ProcurementAllocationData[[#This Row],[Deep Green]]+ProcurementAllocationData[[#This Row],[LocalSol]]+ProcurementAllocationData[[#This Row],[GreenAccess]])</f>
        <v>3106</v>
      </c>
      <c r="T37" s="46"/>
      <c r="U37" s="46"/>
      <c r="V37" s="46"/>
      <c r="W37" s="46"/>
      <c r="X37" s="46"/>
      <c r="Y37" s="112">
        <f t="shared" si="19"/>
        <v>136</v>
      </c>
      <c r="Z37" s="150">
        <f t="shared" si="20"/>
        <v>0</v>
      </c>
      <c r="AA37" s="150">
        <f t="shared" si="21"/>
        <v>136</v>
      </c>
      <c r="AB37" s="113">
        <f t="shared" si="22"/>
        <v>0</v>
      </c>
      <c r="AD37" s="272" t="str">
        <f t="shared" si="23"/>
        <v>Avenal Park - Avenal Park LLC</v>
      </c>
      <c r="AE37" s="273">
        <f t="shared" si="24"/>
        <v>0</v>
      </c>
      <c r="AF37" s="273">
        <f t="shared" si="25"/>
        <v>0</v>
      </c>
      <c r="AG37" s="273">
        <f t="shared" si="26"/>
        <v>0</v>
      </c>
      <c r="AH37" s="273">
        <f t="shared" si="27"/>
        <v>0</v>
      </c>
      <c r="AI37" s="273">
        <f t="shared" si="28"/>
        <v>0</v>
      </c>
      <c r="AJ37" s="273">
        <f t="shared" si="29"/>
        <v>0</v>
      </c>
      <c r="AK37" s="273">
        <f t="shared" si="30"/>
        <v>0</v>
      </c>
      <c r="AL37" s="274">
        <f t="shared" si="31"/>
        <v>0</v>
      </c>
      <c r="AN37" s="75" t="str">
        <f t="shared" si="32"/>
        <v>-</v>
      </c>
      <c r="AO37" s="75" t="str">
        <f t="shared" si="33"/>
        <v>-</v>
      </c>
      <c r="AP37" s="48">
        <f t="shared" si="36"/>
        <v>0</v>
      </c>
      <c r="AQ37" s="48">
        <f t="shared" si="34"/>
        <v>0</v>
      </c>
      <c r="AR37" s="49">
        <f t="shared" si="35"/>
        <v>0</v>
      </c>
    </row>
    <row r="38" spans="1:44" ht="15.75" customHeight="1">
      <c r="A38" s="38" t="s">
        <v>3824</v>
      </c>
      <c r="B38" s="38" t="s">
        <v>28</v>
      </c>
      <c r="C38" s="38" t="s">
        <v>3771</v>
      </c>
      <c r="D38" s="38" t="s">
        <v>3825</v>
      </c>
      <c r="E38" s="38" t="s">
        <v>3826</v>
      </c>
      <c r="F38" s="38">
        <v>10282</v>
      </c>
      <c r="G38" s="47">
        <f t="shared" si="16"/>
        <v>4.3727031303423702E-2</v>
      </c>
      <c r="H38" s="44">
        <v>8116</v>
      </c>
      <c r="I38" s="44"/>
      <c r="J38" s="45">
        <f t="shared" si="17"/>
        <v>8116</v>
      </c>
      <c r="K38" s="38"/>
      <c r="L38" s="38"/>
      <c r="M38" s="38"/>
      <c r="N38" s="34">
        <f>VLOOKUP(F38,'GHG Emissions Factors'!$B$2:$C$4000,2,FALSE)</f>
        <v>0</v>
      </c>
      <c r="O38" s="45">
        <f t="shared" si="18"/>
        <v>0</v>
      </c>
      <c r="P38" s="34">
        <f>IF(L38="yes", 0, _xlfn.XLOOKUP(F38, 'GHG Emissions Factors'!$B$2:$B$4000, 'GHG Emissions Factors'!$D$2:$D$4000, 0))</f>
        <v>0</v>
      </c>
      <c r="Q38" s="46"/>
      <c r="R38" s="46"/>
      <c r="S38" s="46">
        <f>ProcurementAllocationData[[#This Row],[Net MWhs Procured]]-(ProcurementAllocationData[[#This Row],[Deep Green]]+ProcurementAllocationData[[#This Row],[LocalSol]]+ProcurementAllocationData[[#This Row],[GreenAccess]])</f>
        <v>8116</v>
      </c>
      <c r="T38" s="46"/>
      <c r="U38" s="46"/>
      <c r="V38" s="46"/>
      <c r="W38" s="46"/>
      <c r="X38" s="46"/>
      <c r="Y38" s="112">
        <f t="shared" si="19"/>
        <v>355</v>
      </c>
      <c r="Z38" s="150">
        <f t="shared" si="20"/>
        <v>0</v>
      </c>
      <c r="AA38" s="150">
        <f t="shared" si="21"/>
        <v>355</v>
      </c>
      <c r="AB38" s="113">
        <f t="shared" si="22"/>
        <v>0</v>
      </c>
      <c r="AD38" s="272" t="str">
        <f t="shared" si="23"/>
        <v>Big Creek Hydro Project - Big Creek Water Works</v>
      </c>
      <c r="AE38" s="273">
        <f t="shared" si="24"/>
        <v>0</v>
      </c>
      <c r="AF38" s="273">
        <f t="shared" si="25"/>
        <v>0</v>
      </c>
      <c r="AG38" s="273">
        <f t="shared" si="26"/>
        <v>0</v>
      </c>
      <c r="AH38" s="273">
        <f t="shared" si="27"/>
        <v>0</v>
      </c>
      <c r="AI38" s="273">
        <f t="shared" si="28"/>
        <v>0</v>
      </c>
      <c r="AJ38" s="273">
        <f t="shared" si="29"/>
        <v>0</v>
      </c>
      <c r="AK38" s="273">
        <f t="shared" si="30"/>
        <v>0</v>
      </c>
      <c r="AL38" s="274">
        <f t="shared" si="31"/>
        <v>0</v>
      </c>
      <c r="AN38" s="75" t="str">
        <f t="shared" si="32"/>
        <v>-</v>
      </c>
      <c r="AO38" s="75" t="str">
        <f t="shared" si="33"/>
        <v>-</v>
      </c>
      <c r="AP38" s="48">
        <f t="shared" si="36"/>
        <v>0</v>
      </c>
      <c r="AQ38" s="48">
        <f t="shared" si="34"/>
        <v>0</v>
      </c>
      <c r="AR38" s="49">
        <f t="shared" si="35"/>
        <v>0</v>
      </c>
    </row>
    <row r="39" spans="1:44" ht="15.75" customHeight="1">
      <c r="A39" s="38" t="s">
        <v>2668</v>
      </c>
      <c r="B39" s="38" t="s">
        <v>29</v>
      </c>
      <c r="C39" s="38" t="s">
        <v>3771</v>
      </c>
      <c r="D39" s="38" t="s">
        <v>3827</v>
      </c>
      <c r="E39" s="38" t="s">
        <v>3828</v>
      </c>
      <c r="F39" s="38">
        <v>64471</v>
      </c>
      <c r="G39" s="47">
        <f t="shared" si="16"/>
        <v>4.3727031303423702E-2</v>
      </c>
      <c r="H39" s="44">
        <v>12005</v>
      </c>
      <c r="I39" s="44"/>
      <c r="J39" s="45">
        <f t="shared" si="17"/>
        <v>12005</v>
      </c>
      <c r="K39" s="38"/>
      <c r="L39" s="38"/>
      <c r="M39" s="38"/>
      <c r="N39" s="34">
        <f>VLOOKUP(F39,'GHG Emissions Factors'!$B$2:$C$4000,2,FALSE)</f>
        <v>0</v>
      </c>
      <c r="O39" s="45">
        <f t="shared" si="18"/>
        <v>0</v>
      </c>
      <c r="P39" s="34">
        <f>IF(L39="yes", 0, _xlfn.XLOOKUP(F39, 'GHG Emissions Factors'!$B$2:$B$4000, 'GHG Emissions Factors'!$D$2:$D$4000, 0))</f>
        <v>0</v>
      </c>
      <c r="Q39" s="46"/>
      <c r="R39" s="46"/>
      <c r="S39" s="46">
        <f>ProcurementAllocationData[[#This Row],[Net MWhs Procured]]-(ProcurementAllocationData[[#This Row],[Deep Green]]+ProcurementAllocationData[[#This Row],[LocalSol]]+ProcurementAllocationData[[#This Row],[GreenAccess]])</f>
        <v>12005</v>
      </c>
      <c r="T39" s="46"/>
      <c r="U39" s="46"/>
      <c r="V39" s="46"/>
      <c r="W39" s="46"/>
      <c r="X39" s="46"/>
      <c r="Y39" s="112">
        <f t="shared" si="19"/>
        <v>525</v>
      </c>
      <c r="Z39" s="150">
        <f t="shared" si="20"/>
        <v>0</v>
      </c>
      <c r="AA39" s="150">
        <f t="shared" si="21"/>
        <v>525</v>
      </c>
      <c r="AB39" s="113">
        <f t="shared" si="22"/>
        <v>0</v>
      </c>
      <c r="AD39" s="272" t="str">
        <f t="shared" si="23"/>
        <v>Byron Highway Solar</v>
      </c>
      <c r="AE39" s="273">
        <f t="shared" si="24"/>
        <v>0</v>
      </c>
      <c r="AF39" s="273">
        <f t="shared" si="25"/>
        <v>0</v>
      </c>
      <c r="AG39" s="273">
        <f t="shared" si="26"/>
        <v>0</v>
      </c>
      <c r="AH39" s="273">
        <f t="shared" si="27"/>
        <v>0</v>
      </c>
      <c r="AI39" s="273">
        <f t="shared" si="28"/>
        <v>0</v>
      </c>
      <c r="AJ39" s="273">
        <f t="shared" si="29"/>
        <v>0</v>
      </c>
      <c r="AK39" s="273">
        <f t="shared" si="30"/>
        <v>0</v>
      </c>
      <c r="AL39" s="274">
        <f t="shared" si="31"/>
        <v>0</v>
      </c>
      <c r="AN39" s="75" t="str">
        <f t="shared" si="32"/>
        <v>-</v>
      </c>
      <c r="AO39" s="75" t="str">
        <f t="shared" si="33"/>
        <v>-</v>
      </c>
      <c r="AP39" s="48">
        <f t="shared" si="36"/>
        <v>0</v>
      </c>
      <c r="AQ39" s="48">
        <f t="shared" si="34"/>
        <v>0</v>
      </c>
      <c r="AR39" s="49">
        <f t="shared" si="35"/>
        <v>0</v>
      </c>
    </row>
    <row r="40" spans="1:44" ht="15">
      <c r="A40" s="38" t="s">
        <v>3720</v>
      </c>
      <c r="B40" s="38" t="s">
        <v>29</v>
      </c>
      <c r="C40" s="38" t="s">
        <v>3771</v>
      </c>
      <c r="D40" s="38" t="s">
        <v>3829</v>
      </c>
      <c r="E40" s="38" t="s">
        <v>3830</v>
      </c>
      <c r="F40" s="38" t="s">
        <v>3721</v>
      </c>
      <c r="G40" s="47">
        <f t="shared" si="16"/>
        <v>4.3727031303423702E-2</v>
      </c>
      <c r="H40" s="44">
        <v>2382</v>
      </c>
      <c r="I40" s="44"/>
      <c r="J40" s="45">
        <f t="shared" ref="J40:J47" si="37">H40-I40</f>
        <v>2382</v>
      </c>
      <c r="K40" s="38"/>
      <c r="L40" s="38"/>
      <c r="M40" s="38"/>
      <c r="N40" s="34">
        <f>VLOOKUP(F40,'GHG Emissions Factors'!$B$2:$C$4000,2,FALSE)</f>
        <v>0</v>
      </c>
      <c r="O40" s="45">
        <f t="shared" si="18"/>
        <v>0</v>
      </c>
      <c r="P40" s="34">
        <f>IF(L40="yes", 0, _xlfn.XLOOKUP(F40, 'GHG Emissions Factors'!$B$2:$B$4000, 'GHG Emissions Factors'!$D$2:$D$4000, 0))</f>
        <v>0</v>
      </c>
      <c r="Q40" s="46"/>
      <c r="R40" s="46"/>
      <c r="S40" s="46">
        <f>ProcurementAllocationData[[#This Row],[Net MWhs Procured]]-(ProcurementAllocationData[[#This Row],[Deep Green]]+ProcurementAllocationData[[#This Row],[LocalSol]]+ProcurementAllocationData[[#This Row],[GreenAccess]])</f>
        <v>2382</v>
      </c>
      <c r="T40" s="46"/>
      <c r="U40" s="46"/>
      <c r="V40" s="46"/>
      <c r="W40" s="46"/>
      <c r="X40" s="46"/>
      <c r="Y40" s="112">
        <f t="shared" si="19"/>
        <v>104</v>
      </c>
      <c r="Z40" s="150">
        <f t="shared" si="20"/>
        <v>0</v>
      </c>
      <c r="AA40" s="150">
        <f t="shared" si="21"/>
        <v>104</v>
      </c>
      <c r="AB40" s="113">
        <f t="shared" si="22"/>
        <v>0</v>
      </c>
      <c r="AD40" s="272" t="str">
        <f t="shared" si="23"/>
        <v>Byron Hot Springs Solar</v>
      </c>
      <c r="AE40" s="273">
        <f t="shared" si="24"/>
        <v>0</v>
      </c>
      <c r="AF40" s="273">
        <f t="shared" si="25"/>
        <v>0</v>
      </c>
      <c r="AG40" s="273">
        <f t="shared" si="26"/>
        <v>0</v>
      </c>
      <c r="AH40" s="273">
        <f t="shared" si="27"/>
        <v>0</v>
      </c>
      <c r="AI40" s="273">
        <f t="shared" si="28"/>
        <v>0</v>
      </c>
      <c r="AJ40" s="273">
        <f t="shared" si="29"/>
        <v>0</v>
      </c>
      <c r="AK40" s="273">
        <f t="shared" si="30"/>
        <v>0</v>
      </c>
      <c r="AL40" s="274">
        <f t="shared" si="31"/>
        <v>0</v>
      </c>
      <c r="AN40" s="75" t="str">
        <f t="shared" si="32"/>
        <v>-</v>
      </c>
      <c r="AO40" s="75" t="str">
        <f t="shared" si="33"/>
        <v>-</v>
      </c>
      <c r="AP40" s="48">
        <f t="shared" si="36"/>
        <v>0</v>
      </c>
      <c r="AQ40" s="48">
        <f t="shared" si="34"/>
        <v>0</v>
      </c>
      <c r="AR40" s="49">
        <f t="shared" si="35"/>
        <v>0</v>
      </c>
    </row>
    <row r="41" spans="1:44" ht="15">
      <c r="A41" s="38" t="s">
        <v>3831</v>
      </c>
      <c r="B41" s="38" t="s">
        <v>29</v>
      </c>
      <c r="C41" s="38" t="s">
        <v>3771</v>
      </c>
      <c r="D41" s="38" t="s">
        <v>3832</v>
      </c>
      <c r="E41" s="38" t="s">
        <v>3833</v>
      </c>
      <c r="F41" s="38">
        <v>56768</v>
      </c>
      <c r="G41" s="47">
        <f t="shared" si="16"/>
        <v>4.3727031303423702E-2</v>
      </c>
      <c r="H41" s="44">
        <v>656</v>
      </c>
      <c r="I41" s="44"/>
      <c r="J41" s="45">
        <f t="shared" si="37"/>
        <v>656</v>
      </c>
      <c r="K41" s="38"/>
      <c r="L41" s="38"/>
      <c r="M41" s="38"/>
      <c r="N41" s="34">
        <f>VLOOKUP(F41,'GHG Emissions Factors'!$B$2:$C$4000,2,FALSE)</f>
        <v>0</v>
      </c>
      <c r="O41" s="45">
        <f t="shared" si="18"/>
        <v>0</v>
      </c>
      <c r="P41" s="34">
        <f>IF(L41="yes", 0, _xlfn.XLOOKUP(F41, 'GHG Emissions Factors'!$B$2:$B$4000, 'GHG Emissions Factors'!$D$2:$D$4000, 0))</f>
        <v>0</v>
      </c>
      <c r="Q41" s="46"/>
      <c r="R41" s="46"/>
      <c r="S41" s="46">
        <f>ProcurementAllocationData[[#This Row],[Net MWhs Procured]]-(ProcurementAllocationData[[#This Row],[Deep Green]]+ProcurementAllocationData[[#This Row],[LocalSol]]+ProcurementAllocationData[[#This Row],[GreenAccess]])</f>
        <v>656</v>
      </c>
      <c r="T41" s="46"/>
      <c r="U41" s="46"/>
      <c r="V41" s="46"/>
      <c r="W41" s="46"/>
      <c r="X41" s="46"/>
      <c r="Y41" s="112">
        <f t="shared" si="19"/>
        <v>29</v>
      </c>
      <c r="Z41" s="150">
        <f t="shared" si="20"/>
        <v>0</v>
      </c>
      <c r="AA41" s="150">
        <f t="shared" si="21"/>
        <v>29</v>
      </c>
      <c r="AB41" s="113">
        <f t="shared" si="22"/>
        <v>0</v>
      </c>
      <c r="AD41" s="272" t="str">
        <f t="shared" si="23"/>
        <v>CalRENEW-1 - CalRENEW-1</v>
      </c>
      <c r="AE41" s="273">
        <f t="shared" si="24"/>
        <v>0</v>
      </c>
      <c r="AF41" s="273">
        <f t="shared" si="25"/>
        <v>0</v>
      </c>
      <c r="AG41" s="273">
        <f t="shared" si="26"/>
        <v>0</v>
      </c>
      <c r="AH41" s="273">
        <f t="shared" si="27"/>
        <v>0</v>
      </c>
      <c r="AI41" s="273">
        <f t="shared" si="28"/>
        <v>0</v>
      </c>
      <c r="AJ41" s="273">
        <f t="shared" si="29"/>
        <v>0</v>
      </c>
      <c r="AK41" s="273">
        <f t="shared" si="30"/>
        <v>0</v>
      </c>
      <c r="AL41" s="274">
        <f t="shared" si="31"/>
        <v>0</v>
      </c>
      <c r="AN41" s="75" t="str">
        <f t="shared" si="32"/>
        <v>-</v>
      </c>
      <c r="AO41" s="75" t="str">
        <f t="shared" si="33"/>
        <v>-</v>
      </c>
      <c r="AP41" s="48">
        <f t="shared" si="36"/>
        <v>0</v>
      </c>
      <c r="AQ41" s="48">
        <f t="shared" si="34"/>
        <v>0</v>
      </c>
      <c r="AR41" s="49">
        <f t="shared" si="35"/>
        <v>0</v>
      </c>
    </row>
    <row r="42" spans="1:44" ht="15">
      <c r="A42" s="38" t="s">
        <v>3834</v>
      </c>
      <c r="B42" s="38" t="s">
        <v>28</v>
      </c>
      <c r="C42" s="38" t="s">
        <v>3771</v>
      </c>
      <c r="D42" s="38" t="s">
        <v>3835</v>
      </c>
      <c r="E42" s="38" t="s">
        <v>3836</v>
      </c>
      <c r="F42" s="38">
        <v>537</v>
      </c>
      <c r="G42" s="47">
        <f t="shared" si="16"/>
        <v>4.3727031303423702E-2</v>
      </c>
      <c r="H42" s="44">
        <v>10738</v>
      </c>
      <c r="I42" s="44"/>
      <c r="J42" s="45">
        <f t="shared" si="37"/>
        <v>10738</v>
      </c>
      <c r="K42" s="38"/>
      <c r="L42" s="38"/>
      <c r="M42" s="38"/>
      <c r="N42" s="34">
        <f>VLOOKUP(F42,'GHG Emissions Factors'!$B$2:$C$4000,2,FALSE)</f>
        <v>0</v>
      </c>
      <c r="O42" s="45">
        <f t="shared" si="18"/>
        <v>0</v>
      </c>
      <c r="P42" s="34">
        <f>IF(L42="yes", 0, _xlfn.XLOOKUP(F42, 'GHG Emissions Factors'!$B$2:$B$4000, 'GHG Emissions Factors'!$D$2:$D$4000, 0))</f>
        <v>0</v>
      </c>
      <c r="Q42" s="46"/>
      <c r="R42" s="46"/>
      <c r="S42" s="46">
        <f>ProcurementAllocationData[[#This Row],[Net MWhs Procured]]-(ProcurementAllocationData[[#This Row],[Deep Green]]+ProcurementAllocationData[[#This Row],[LocalSol]]+ProcurementAllocationData[[#This Row],[GreenAccess]])</f>
        <v>10738</v>
      </c>
      <c r="T42" s="46"/>
      <c r="U42" s="46"/>
      <c r="V42" s="46"/>
      <c r="W42" s="46"/>
      <c r="X42" s="46"/>
      <c r="Y42" s="112">
        <f t="shared" si="19"/>
        <v>470</v>
      </c>
      <c r="Z42" s="150">
        <f t="shared" si="20"/>
        <v>0</v>
      </c>
      <c r="AA42" s="150">
        <f t="shared" si="21"/>
        <v>470</v>
      </c>
      <c r="AB42" s="113">
        <f t="shared" si="22"/>
        <v>0</v>
      </c>
      <c r="AD42" s="272" t="str">
        <f t="shared" si="23"/>
        <v>Camanche - Camanche 1,2,&amp;3</v>
      </c>
      <c r="AE42" s="273">
        <f t="shared" si="24"/>
        <v>0</v>
      </c>
      <c r="AF42" s="273">
        <f t="shared" si="25"/>
        <v>0</v>
      </c>
      <c r="AG42" s="273">
        <f t="shared" si="26"/>
        <v>0</v>
      </c>
      <c r="AH42" s="273">
        <f t="shared" si="27"/>
        <v>0</v>
      </c>
      <c r="AI42" s="273">
        <f t="shared" si="28"/>
        <v>0</v>
      </c>
      <c r="AJ42" s="273">
        <f t="shared" si="29"/>
        <v>0</v>
      </c>
      <c r="AK42" s="273">
        <f t="shared" si="30"/>
        <v>0</v>
      </c>
      <c r="AL42" s="274">
        <f t="shared" si="31"/>
        <v>0</v>
      </c>
      <c r="AN42" s="75" t="str">
        <f t="shared" si="32"/>
        <v>-</v>
      </c>
      <c r="AO42" s="75" t="str">
        <f t="shared" si="33"/>
        <v>-</v>
      </c>
      <c r="AP42" s="48">
        <f t="shared" si="36"/>
        <v>0</v>
      </c>
      <c r="AQ42" s="48">
        <f t="shared" si="34"/>
        <v>0</v>
      </c>
      <c r="AR42" s="49">
        <f t="shared" si="35"/>
        <v>0</v>
      </c>
    </row>
    <row r="43" spans="1:44" ht="15">
      <c r="A43" s="38" t="s">
        <v>3442</v>
      </c>
      <c r="B43" s="38" t="s">
        <v>26</v>
      </c>
      <c r="C43" s="38" t="s">
        <v>3771</v>
      </c>
      <c r="D43" s="38" t="s">
        <v>3837</v>
      </c>
      <c r="E43" s="38" t="s">
        <v>3838</v>
      </c>
      <c r="F43" s="38" t="s">
        <v>3443</v>
      </c>
      <c r="G43" s="47">
        <f t="shared" si="16"/>
        <v>4.3727031303423702E-2</v>
      </c>
      <c r="H43" s="44">
        <v>592</v>
      </c>
      <c r="I43" s="44"/>
      <c r="J43" s="45">
        <f t="shared" si="37"/>
        <v>592</v>
      </c>
      <c r="K43" s="38"/>
      <c r="L43" s="38"/>
      <c r="M43" s="38"/>
      <c r="N43" s="34">
        <f>VLOOKUP(F43,'GHG Emissions Factors'!$B$2:$C$4000,2,FALSE)</f>
        <v>0.97609999999999997</v>
      </c>
      <c r="O43" s="45">
        <f t="shared" si="18"/>
        <v>577.85119999999995</v>
      </c>
      <c r="P43" s="34">
        <f>IF(L43="yes", 0, _xlfn.XLOOKUP(F43, 'GHG Emissions Factors'!$B$2:$B$4000, 'GHG Emissions Factors'!$D$2:$D$4000, 0))</f>
        <v>0.20119999999999999</v>
      </c>
      <c r="Q43" s="46"/>
      <c r="R43" s="46"/>
      <c r="S43" s="46">
        <f>ProcurementAllocationData[[#This Row],[Net MWhs Procured]]-(ProcurementAllocationData[[#This Row],[Deep Green]]+ProcurementAllocationData[[#This Row],[LocalSol]]+ProcurementAllocationData[[#This Row],[GreenAccess]])</f>
        <v>592</v>
      </c>
      <c r="T43" s="46"/>
      <c r="U43" s="46"/>
      <c r="V43" s="46"/>
      <c r="W43" s="46"/>
      <c r="X43" s="46"/>
      <c r="Y43" s="112">
        <f t="shared" si="19"/>
        <v>26</v>
      </c>
      <c r="Z43" s="150">
        <f t="shared" si="20"/>
        <v>0</v>
      </c>
      <c r="AA43" s="150">
        <f t="shared" si="21"/>
        <v>26</v>
      </c>
      <c r="AB43" s="113">
        <f t="shared" si="22"/>
        <v>0</v>
      </c>
      <c r="AD43" s="272" t="str">
        <f t="shared" si="23"/>
        <v>Central Marin Sanitation Agency - CMSA Renewable Energy Expansion</v>
      </c>
      <c r="AE43" s="273">
        <f t="shared" si="24"/>
        <v>0</v>
      </c>
      <c r="AF43" s="273">
        <f t="shared" si="25"/>
        <v>0</v>
      </c>
      <c r="AG43" s="273">
        <f t="shared" si="26"/>
        <v>119.1104</v>
      </c>
      <c r="AH43" s="273">
        <f t="shared" si="27"/>
        <v>0</v>
      </c>
      <c r="AI43" s="273">
        <f t="shared" si="28"/>
        <v>0</v>
      </c>
      <c r="AJ43" s="273">
        <f t="shared" si="29"/>
        <v>0</v>
      </c>
      <c r="AK43" s="273">
        <f t="shared" si="30"/>
        <v>0</v>
      </c>
      <c r="AL43" s="274">
        <f t="shared" si="31"/>
        <v>0</v>
      </c>
      <c r="AN43" s="75" t="str">
        <f t="shared" si="32"/>
        <v>-</v>
      </c>
      <c r="AO43" s="75" t="str">
        <f t="shared" si="33"/>
        <v>-</v>
      </c>
      <c r="AP43" s="48">
        <f t="shared" si="36"/>
        <v>0</v>
      </c>
      <c r="AQ43" s="48">
        <f t="shared" si="34"/>
        <v>0</v>
      </c>
      <c r="AR43" s="49">
        <f t="shared" si="35"/>
        <v>0</v>
      </c>
    </row>
    <row r="44" spans="1:44" ht="15">
      <c r="A44" s="38" t="s">
        <v>3839</v>
      </c>
      <c r="B44" s="38" t="s">
        <v>29</v>
      </c>
      <c r="C44" s="38" t="s">
        <v>3771</v>
      </c>
      <c r="D44" s="38" t="s">
        <v>3840</v>
      </c>
      <c r="E44" s="38" t="s">
        <v>3841</v>
      </c>
      <c r="F44" s="38">
        <v>59087</v>
      </c>
      <c r="G44" s="47">
        <f t="shared" si="16"/>
        <v>4.3727031303423702E-2</v>
      </c>
      <c r="H44" s="44">
        <v>20650</v>
      </c>
      <c r="I44" s="44">
        <v>4500</v>
      </c>
      <c r="J44" s="45">
        <f t="shared" si="37"/>
        <v>16150</v>
      </c>
      <c r="K44" s="38"/>
      <c r="L44" s="38"/>
      <c r="M44" s="38"/>
      <c r="N44" s="34">
        <f>VLOOKUP(F44,'GHG Emissions Factors'!$B$2:$C$4000,2,FALSE)</f>
        <v>0</v>
      </c>
      <c r="O44" s="45">
        <f t="shared" si="18"/>
        <v>0</v>
      </c>
      <c r="P44" s="34">
        <f>IF(L44="yes", 0, _xlfn.XLOOKUP(F44, 'GHG Emissions Factors'!$B$2:$B$4000, 'GHG Emissions Factors'!$D$2:$D$4000, 0))</f>
        <v>0</v>
      </c>
      <c r="Q44" s="46"/>
      <c r="R44" s="46"/>
      <c r="S44" s="46">
        <f>ProcurementAllocationData[[#This Row],[Net MWhs Procured]]-(ProcurementAllocationData[[#This Row],[Deep Green]]+ProcurementAllocationData[[#This Row],[LocalSol]]+ProcurementAllocationData[[#This Row],[GreenAccess]])</f>
        <v>8710.5097099999984</v>
      </c>
      <c r="T44" s="46">
        <v>7439.4902900000016</v>
      </c>
      <c r="U44" s="46"/>
      <c r="V44" s="46"/>
      <c r="W44" s="46"/>
      <c r="X44" s="46"/>
      <c r="Y44" s="112">
        <f t="shared" si="19"/>
        <v>706</v>
      </c>
      <c r="Z44" s="150">
        <f t="shared" si="20"/>
        <v>0</v>
      </c>
      <c r="AA44" s="150">
        <f t="shared" si="21"/>
        <v>706</v>
      </c>
      <c r="AB44" s="113">
        <f t="shared" si="22"/>
        <v>0</v>
      </c>
      <c r="AD44" s="272" t="str">
        <f t="shared" si="23"/>
        <v>City of Corcoran Solar - City of Corcoran Solar</v>
      </c>
      <c r="AE44" s="273">
        <f t="shared" si="24"/>
        <v>0</v>
      </c>
      <c r="AF44" s="273">
        <f t="shared" si="25"/>
        <v>0</v>
      </c>
      <c r="AG44" s="273">
        <f t="shared" si="26"/>
        <v>0</v>
      </c>
      <c r="AH44" s="273">
        <f t="shared" si="27"/>
        <v>0</v>
      </c>
      <c r="AI44" s="273">
        <f t="shared" si="28"/>
        <v>0</v>
      </c>
      <c r="AJ44" s="273">
        <f t="shared" si="29"/>
        <v>0</v>
      </c>
      <c r="AK44" s="273">
        <f t="shared" si="30"/>
        <v>0</v>
      </c>
      <c r="AL44" s="274">
        <f t="shared" si="31"/>
        <v>0</v>
      </c>
      <c r="AN44" s="75" t="str">
        <f t="shared" si="32"/>
        <v>-</v>
      </c>
      <c r="AO44" s="75" t="str">
        <f t="shared" si="33"/>
        <v>-</v>
      </c>
      <c r="AP44" s="48">
        <f t="shared" si="36"/>
        <v>0</v>
      </c>
      <c r="AQ44" s="48">
        <f t="shared" si="34"/>
        <v>0</v>
      </c>
      <c r="AR44" s="49">
        <f t="shared" si="35"/>
        <v>0</v>
      </c>
    </row>
    <row r="45" spans="1:44" ht="15">
      <c r="A45" s="38" t="s">
        <v>3842</v>
      </c>
      <c r="B45" s="38" t="s">
        <v>26</v>
      </c>
      <c r="C45" s="38" t="s">
        <v>3843</v>
      </c>
      <c r="D45" s="38" t="s">
        <v>3844</v>
      </c>
      <c r="E45" s="38" t="s">
        <v>3845</v>
      </c>
      <c r="F45" s="38">
        <v>50637</v>
      </c>
      <c r="G45" s="47">
        <f t="shared" si="16"/>
        <v>6.5978850116714893E-2</v>
      </c>
      <c r="H45" s="44">
        <v>8373</v>
      </c>
      <c r="I45" s="44"/>
      <c r="J45" s="45">
        <f t="shared" si="37"/>
        <v>8373</v>
      </c>
      <c r="K45" s="38"/>
      <c r="L45" s="38"/>
      <c r="M45" s="38"/>
      <c r="N45" s="34">
        <f>VLOOKUP(F45,'GHG Emissions Factors'!$B$2:$C$4000,2,FALSE)</f>
        <v>0.43009999999999998</v>
      </c>
      <c r="O45" s="45">
        <f t="shared" si="18"/>
        <v>3601.2273</v>
      </c>
      <c r="P45" s="34">
        <f>IF(L45="yes", 0, _xlfn.XLOOKUP(F45, 'GHG Emissions Factors'!$B$2:$B$4000, 'GHG Emissions Factors'!$D$2:$D$4000, 0))</f>
        <v>3.61E-2</v>
      </c>
      <c r="Q45" s="46"/>
      <c r="R45" s="46"/>
      <c r="S45" s="46">
        <f>ProcurementAllocationData[[#This Row],[Net MWhs Procured]]-(ProcurementAllocationData[[#This Row],[Deep Green]]+ProcurementAllocationData[[#This Row],[LocalSol]]+ProcurementAllocationData[[#This Row],[GreenAccess]])</f>
        <v>8373</v>
      </c>
      <c r="T45" s="46"/>
      <c r="U45" s="46"/>
      <c r="V45" s="46"/>
      <c r="W45" s="46"/>
      <c r="X45" s="46"/>
      <c r="Y45" s="112">
        <f t="shared" si="19"/>
        <v>552</v>
      </c>
      <c r="Z45" s="150">
        <f t="shared" si="20"/>
        <v>0</v>
      </c>
      <c r="AA45" s="150">
        <f t="shared" si="21"/>
        <v>552</v>
      </c>
      <c r="AB45" s="113">
        <f t="shared" si="22"/>
        <v>0</v>
      </c>
      <c r="AD45" s="272" t="str">
        <f t="shared" si="23"/>
        <v>Clearwater Paper Corporation - #3 turbine generator</v>
      </c>
      <c r="AE45" s="273">
        <f t="shared" si="24"/>
        <v>0</v>
      </c>
      <c r="AF45" s="273">
        <f t="shared" si="25"/>
        <v>0</v>
      </c>
      <c r="AG45" s="273">
        <f t="shared" si="26"/>
        <v>302.26530000000002</v>
      </c>
      <c r="AH45" s="273">
        <f t="shared" si="27"/>
        <v>0</v>
      </c>
      <c r="AI45" s="273">
        <f t="shared" si="28"/>
        <v>0</v>
      </c>
      <c r="AJ45" s="273">
        <f t="shared" si="29"/>
        <v>0</v>
      </c>
      <c r="AK45" s="273">
        <f t="shared" si="30"/>
        <v>0</v>
      </c>
      <c r="AL45" s="274">
        <f t="shared" si="31"/>
        <v>0</v>
      </c>
      <c r="AN45" s="75" t="str">
        <f t="shared" si="32"/>
        <v>-</v>
      </c>
      <c r="AO45" s="75" t="str">
        <f t="shared" si="33"/>
        <v>-</v>
      </c>
      <c r="AP45" s="48">
        <f t="shared" si="36"/>
        <v>0</v>
      </c>
      <c r="AQ45" s="48">
        <f t="shared" si="34"/>
        <v>0</v>
      </c>
      <c r="AR45" s="49">
        <f t="shared" si="35"/>
        <v>0</v>
      </c>
    </row>
    <row r="46" spans="1:44" ht="15">
      <c r="A46" s="38" t="s">
        <v>3846</v>
      </c>
      <c r="B46" s="38" t="s">
        <v>26</v>
      </c>
      <c r="C46" s="38" t="s">
        <v>3843</v>
      </c>
      <c r="D46" s="38" t="s">
        <v>3847</v>
      </c>
      <c r="E46" s="38" t="s">
        <v>3845</v>
      </c>
      <c r="F46" s="38">
        <v>50637</v>
      </c>
      <c r="G46" s="47">
        <f t="shared" si="16"/>
        <v>6.5978850116714893E-2</v>
      </c>
      <c r="H46" s="44">
        <v>7376</v>
      </c>
      <c r="I46" s="44"/>
      <c r="J46" s="45">
        <f t="shared" si="37"/>
        <v>7376</v>
      </c>
      <c r="K46" s="38"/>
      <c r="L46" s="38"/>
      <c r="M46" s="38"/>
      <c r="N46" s="34">
        <f>VLOOKUP(F46,'GHG Emissions Factors'!$B$2:$C$4000,2,FALSE)</f>
        <v>0.43009999999999998</v>
      </c>
      <c r="O46" s="45">
        <f t="shared" si="18"/>
        <v>3172.4175999999998</v>
      </c>
      <c r="P46" s="34">
        <f>IF(L46="yes", 0, _xlfn.XLOOKUP(F46, 'GHG Emissions Factors'!$B$2:$B$4000, 'GHG Emissions Factors'!$D$2:$D$4000, 0))</f>
        <v>3.61E-2</v>
      </c>
      <c r="Q46" s="46"/>
      <c r="R46" s="46"/>
      <c r="S46" s="46">
        <f>ProcurementAllocationData[[#This Row],[Net MWhs Procured]]-(ProcurementAllocationData[[#This Row],[Deep Green]]+ProcurementAllocationData[[#This Row],[LocalSol]]+ProcurementAllocationData[[#This Row],[GreenAccess]])</f>
        <v>7376</v>
      </c>
      <c r="T46" s="46"/>
      <c r="U46" s="46"/>
      <c r="V46" s="46"/>
      <c r="W46" s="46"/>
      <c r="X46" s="46"/>
      <c r="Y46" s="112">
        <f t="shared" si="19"/>
        <v>487</v>
      </c>
      <c r="Z46" s="150">
        <f t="shared" si="20"/>
        <v>0</v>
      </c>
      <c r="AA46" s="150">
        <f t="shared" si="21"/>
        <v>487</v>
      </c>
      <c r="AB46" s="113">
        <f t="shared" si="22"/>
        <v>0</v>
      </c>
      <c r="AD46" s="272" t="str">
        <f t="shared" si="23"/>
        <v>Clearwater Paper Corporation - #4 turbine generator</v>
      </c>
      <c r="AE46" s="273">
        <f t="shared" si="24"/>
        <v>0</v>
      </c>
      <c r="AF46" s="273">
        <f t="shared" si="25"/>
        <v>0</v>
      </c>
      <c r="AG46" s="273">
        <f t="shared" si="26"/>
        <v>266.27359999999999</v>
      </c>
      <c r="AH46" s="273">
        <f t="shared" si="27"/>
        <v>0</v>
      </c>
      <c r="AI46" s="273">
        <f t="shared" si="28"/>
        <v>0</v>
      </c>
      <c r="AJ46" s="273">
        <f t="shared" si="29"/>
        <v>0</v>
      </c>
      <c r="AK46" s="273">
        <f t="shared" si="30"/>
        <v>0</v>
      </c>
      <c r="AL46" s="274">
        <f t="shared" si="31"/>
        <v>0</v>
      </c>
      <c r="AN46" s="75" t="str">
        <f t="shared" si="32"/>
        <v>-</v>
      </c>
      <c r="AO46" s="75" t="str">
        <f t="shared" si="33"/>
        <v>-</v>
      </c>
      <c r="AP46" s="48">
        <f t="shared" si="36"/>
        <v>0</v>
      </c>
      <c r="AQ46" s="48">
        <f t="shared" si="34"/>
        <v>0</v>
      </c>
      <c r="AR46" s="49">
        <f t="shared" si="35"/>
        <v>0</v>
      </c>
    </row>
    <row r="47" spans="1:44" ht="15">
      <c r="A47" s="38" t="s">
        <v>3848</v>
      </c>
      <c r="B47" s="38" t="s">
        <v>30</v>
      </c>
      <c r="C47" s="38" t="s">
        <v>3849</v>
      </c>
      <c r="D47" s="38" t="s">
        <v>3850</v>
      </c>
      <c r="E47" s="38" t="s">
        <v>3851</v>
      </c>
      <c r="F47" s="35">
        <v>64054</v>
      </c>
      <c r="G47" s="47">
        <f t="shared" si="16"/>
        <v>6.5978850116714893E-2</v>
      </c>
      <c r="H47" s="44">
        <v>61255</v>
      </c>
      <c r="I47" s="44"/>
      <c r="J47" s="45">
        <f t="shared" si="37"/>
        <v>61255</v>
      </c>
      <c r="K47" s="38"/>
      <c r="L47" s="38"/>
      <c r="M47" s="38"/>
      <c r="N47" s="34">
        <f>VLOOKUP(F47,'GHG Emissions Factors'!$B$2:$C$4000,2,FALSE)</f>
        <v>0</v>
      </c>
      <c r="O47" s="45">
        <f t="shared" si="18"/>
        <v>0</v>
      </c>
      <c r="P47" s="34">
        <f>IF(L47="yes", 0, _xlfn.XLOOKUP(F47, 'GHG Emissions Factors'!$B$2:$B$4000, 'GHG Emissions Factors'!$D$2:$D$4000, 0))</f>
        <v>0</v>
      </c>
      <c r="Q47" s="46"/>
      <c r="R47" s="46"/>
      <c r="S47" s="46">
        <f>ProcurementAllocationData[[#This Row],[Net MWhs Procured]]-(ProcurementAllocationData[[#This Row],[Deep Green]]+ProcurementAllocationData[[#This Row],[LocalSol]]+ProcurementAllocationData[[#This Row],[GreenAccess]])</f>
        <v>61255</v>
      </c>
      <c r="T47" s="46"/>
      <c r="U47" s="46"/>
      <c r="V47" s="46"/>
      <c r="W47" s="46"/>
      <c r="X47" s="46"/>
      <c r="Y47" s="112">
        <f t="shared" si="19"/>
        <v>4042</v>
      </c>
      <c r="Z47" s="150">
        <f t="shared" si="20"/>
        <v>0</v>
      </c>
      <c r="AA47" s="150">
        <f t="shared" si="21"/>
        <v>4042</v>
      </c>
      <c r="AB47" s="113">
        <f t="shared" si="22"/>
        <v>0</v>
      </c>
      <c r="AD47" s="272" t="str">
        <f t="shared" si="23"/>
        <v>Clines Corners - Clines Corners Wind Farm LLC</v>
      </c>
      <c r="AE47" s="273">
        <f t="shared" si="24"/>
        <v>0</v>
      </c>
      <c r="AF47" s="273">
        <f t="shared" si="25"/>
        <v>0</v>
      </c>
      <c r="AG47" s="273">
        <f t="shared" si="26"/>
        <v>0</v>
      </c>
      <c r="AH47" s="273">
        <f t="shared" si="27"/>
        <v>0</v>
      </c>
      <c r="AI47" s="273">
        <f t="shared" si="28"/>
        <v>0</v>
      </c>
      <c r="AJ47" s="273">
        <f t="shared" si="29"/>
        <v>0</v>
      </c>
      <c r="AK47" s="273">
        <f t="shared" si="30"/>
        <v>0</v>
      </c>
      <c r="AL47" s="274">
        <f t="shared" si="31"/>
        <v>0</v>
      </c>
      <c r="AN47" s="75" t="str">
        <f t="shared" si="32"/>
        <v>-</v>
      </c>
      <c r="AO47" s="75" t="str">
        <f t="shared" si="33"/>
        <v>-</v>
      </c>
      <c r="AP47" s="48">
        <f t="shared" si="36"/>
        <v>0</v>
      </c>
      <c r="AQ47" s="48">
        <f t="shared" si="34"/>
        <v>0</v>
      </c>
      <c r="AR47" s="49">
        <f t="shared" si="35"/>
        <v>0</v>
      </c>
    </row>
    <row r="48" spans="1:44" ht="15">
      <c r="A48" s="38" t="s">
        <v>3852</v>
      </c>
      <c r="B48" s="38" t="s">
        <v>30</v>
      </c>
      <c r="C48" s="38" t="s">
        <v>3849</v>
      </c>
      <c r="D48" s="38" t="s">
        <v>3853</v>
      </c>
      <c r="E48" s="38" t="s">
        <v>3851</v>
      </c>
      <c r="F48" s="38">
        <v>64054</v>
      </c>
      <c r="G48" s="47">
        <f t="shared" si="16"/>
        <v>6.5978850116714893E-2</v>
      </c>
      <c r="H48" s="44">
        <v>16055</v>
      </c>
      <c r="I48" s="44"/>
      <c r="J48" s="45">
        <f t="shared" si="17"/>
        <v>16055</v>
      </c>
      <c r="K48" s="38"/>
      <c r="L48" s="38"/>
      <c r="M48" s="38"/>
      <c r="N48" s="34">
        <f>VLOOKUP(F48,'GHG Emissions Factors'!$B$2:$C$4000,2,FALSE)</f>
        <v>0</v>
      </c>
      <c r="O48" s="45">
        <f t="shared" si="18"/>
        <v>0</v>
      </c>
      <c r="P48" s="34">
        <f>IF(L48="yes", 0, _xlfn.XLOOKUP(F48, 'GHG Emissions Factors'!$B$2:$B$4000, 'GHG Emissions Factors'!$D$2:$D$4000, 0))</f>
        <v>0</v>
      </c>
      <c r="Q48" s="46"/>
      <c r="R48" s="46"/>
      <c r="S48" s="46">
        <f>ProcurementAllocationData[[#This Row],[Net MWhs Procured]]-(ProcurementAllocationData[[#This Row],[Deep Green]]+ProcurementAllocationData[[#This Row],[LocalSol]]+ProcurementAllocationData[[#This Row],[GreenAccess]])</f>
        <v>16055</v>
      </c>
      <c r="T48" s="46"/>
      <c r="U48" s="46"/>
      <c r="V48" s="46"/>
      <c r="W48" s="46"/>
      <c r="X48" s="46"/>
      <c r="Y48" s="112">
        <f t="shared" si="19"/>
        <v>1059</v>
      </c>
      <c r="Z48" s="150">
        <f t="shared" si="20"/>
        <v>0</v>
      </c>
      <c r="AA48" s="150">
        <f t="shared" si="21"/>
        <v>1059</v>
      </c>
      <c r="AB48" s="113">
        <f t="shared" si="22"/>
        <v>0</v>
      </c>
      <c r="AD48" s="272" t="str">
        <f t="shared" si="23"/>
        <v>Clines Corners B - Clines Corners Wind Farm LLC</v>
      </c>
      <c r="AE48" s="273">
        <f t="shared" si="24"/>
        <v>0</v>
      </c>
      <c r="AF48" s="273">
        <f t="shared" si="25"/>
        <v>0</v>
      </c>
      <c r="AG48" s="273">
        <f t="shared" si="26"/>
        <v>0</v>
      </c>
      <c r="AH48" s="273">
        <f t="shared" si="27"/>
        <v>0</v>
      </c>
      <c r="AI48" s="273">
        <f t="shared" si="28"/>
        <v>0</v>
      </c>
      <c r="AJ48" s="273">
        <f t="shared" si="29"/>
        <v>0</v>
      </c>
      <c r="AK48" s="273">
        <f t="shared" si="30"/>
        <v>0</v>
      </c>
      <c r="AL48" s="274">
        <f t="shared" si="31"/>
        <v>0</v>
      </c>
      <c r="AN48" s="75" t="str">
        <f t="shared" si="32"/>
        <v>-</v>
      </c>
      <c r="AO48" s="75" t="str">
        <f t="shared" si="33"/>
        <v>-</v>
      </c>
      <c r="AP48" s="48">
        <f t="shared" si="36"/>
        <v>0</v>
      </c>
      <c r="AQ48" s="48">
        <f t="shared" si="34"/>
        <v>0</v>
      </c>
      <c r="AR48" s="49">
        <f t="shared" si="35"/>
        <v>0</v>
      </c>
    </row>
    <row r="49" spans="1:44" ht="15">
      <c r="A49" s="38" t="s">
        <v>3854</v>
      </c>
      <c r="B49" s="38" t="s">
        <v>29</v>
      </c>
      <c r="C49" s="38" t="s">
        <v>3855</v>
      </c>
      <c r="D49" s="38" t="s">
        <v>3856</v>
      </c>
      <c r="E49" s="38" t="s">
        <v>3857</v>
      </c>
      <c r="F49" s="38">
        <v>56944</v>
      </c>
      <c r="G49" s="47">
        <f t="shared" si="16"/>
        <v>6.5978850116714893E-2</v>
      </c>
      <c r="H49" s="44">
        <v>5961</v>
      </c>
      <c r="I49" s="44"/>
      <c r="J49" s="45">
        <f t="shared" si="17"/>
        <v>5961</v>
      </c>
      <c r="K49" s="38"/>
      <c r="L49" s="38"/>
      <c r="M49" s="38"/>
      <c r="N49" s="34">
        <f>VLOOKUP(F49,'GHG Emissions Factors'!$B$2:$C$4000,2,FALSE)</f>
        <v>0</v>
      </c>
      <c r="O49" s="45">
        <f t="shared" si="18"/>
        <v>0</v>
      </c>
      <c r="P49" s="34">
        <f>IF(L49="yes", 0, _xlfn.XLOOKUP(F49, 'GHG Emissions Factors'!$B$2:$B$4000, 'GHG Emissions Factors'!$D$2:$D$4000, 0))</f>
        <v>0</v>
      </c>
      <c r="Q49" s="46"/>
      <c r="R49" s="46"/>
      <c r="S49" s="46">
        <f>ProcurementAllocationData[[#This Row],[Net MWhs Procured]]-(ProcurementAllocationData[[#This Row],[Deep Green]]+ProcurementAllocationData[[#This Row],[LocalSol]]+ProcurementAllocationData[[#This Row],[GreenAccess]])</f>
        <v>5961</v>
      </c>
      <c r="T49" s="46"/>
      <c r="U49" s="46"/>
      <c r="V49" s="46"/>
      <c r="W49" s="46"/>
      <c r="X49" s="46"/>
      <c r="Y49" s="112">
        <f t="shared" si="19"/>
        <v>393</v>
      </c>
      <c r="Z49" s="150">
        <f t="shared" si="20"/>
        <v>0</v>
      </c>
      <c r="AA49" s="150">
        <f t="shared" si="21"/>
        <v>393</v>
      </c>
      <c r="AB49" s="113">
        <f t="shared" si="22"/>
        <v>0</v>
      </c>
      <c r="AD49" s="272" t="str">
        <f t="shared" si="23"/>
        <v>CM10 - CM10</v>
      </c>
      <c r="AE49" s="273">
        <f t="shared" si="24"/>
        <v>0</v>
      </c>
      <c r="AF49" s="273">
        <f t="shared" si="25"/>
        <v>0</v>
      </c>
      <c r="AG49" s="273">
        <f t="shared" si="26"/>
        <v>0</v>
      </c>
      <c r="AH49" s="273">
        <f t="shared" si="27"/>
        <v>0</v>
      </c>
      <c r="AI49" s="273">
        <f t="shared" si="28"/>
        <v>0</v>
      </c>
      <c r="AJ49" s="273">
        <f t="shared" si="29"/>
        <v>0</v>
      </c>
      <c r="AK49" s="273">
        <f t="shared" si="30"/>
        <v>0</v>
      </c>
      <c r="AL49" s="274">
        <f t="shared" si="31"/>
        <v>0</v>
      </c>
      <c r="AN49" s="75" t="str">
        <f t="shared" si="32"/>
        <v>-</v>
      </c>
      <c r="AO49" s="75" t="str">
        <f t="shared" si="33"/>
        <v>-</v>
      </c>
      <c r="AP49" s="48">
        <f t="shared" si="36"/>
        <v>0</v>
      </c>
      <c r="AQ49" s="48">
        <f t="shared" si="34"/>
        <v>0</v>
      </c>
      <c r="AR49" s="49">
        <f t="shared" si="35"/>
        <v>0</v>
      </c>
    </row>
    <row r="50" spans="1:44" ht="15">
      <c r="A50" s="38" t="s">
        <v>3858</v>
      </c>
      <c r="B50" s="38" t="s">
        <v>29</v>
      </c>
      <c r="C50" s="38" t="s">
        <v>3855</v>
      </c>
      <c r="D50" s="38" t="s">
        <v>3859</v>
      </c>
      <c r="E50" s="38" t="s">
        <v>3860</v>
      </c>
      <c r="F50" s="38">
        <v>57205</v>
      </c>
      <c r="G50" s="47">
        <f t="shared" si="16"/>
        <v>6.5978850116714893E-2</v>
      </c>
      <c r="H50" s="44">
        <v>31121</v>
      </c>
      <c r="I50" s="44"/>
      <c r="J50" s="45">
        <f t="shared" si="17"/>
        <v>31121</v>
      </c>
      <c r="K50" s="38"/>
      <c r="L50" s="38"/>
      <c r="M50" s="38"/>
      <c r="N50" s="34">
        <f>VLOOKUP(F50,'GHG Emissions Factors'!$B$2:$C$4000,2,FALSE)</f>
        <v>0</v>
      </c>
      <c r="O50" s="45">
        <f t="shared" si="18"/>
        <v>0</v>
      </c>
      <c r="P50" s="34">
        <f>IF(L50="yes", 0, _xlfn.XLOOKUP(F50, 'GHG Emissions Factors'!$B$2:$B$4000, 'GHG Emissions Factors'!$D$2:$D$4000, 0))</f>
        <v>0</v>
      </c>
      <c r="Q50" s="46"/>
      <c r="R50" s="46"/>
      <c r="S50" s="46">
        <f>ProcurementAllocationData[[#This Row],[Net MWhs Procured]]-(ProcurementAllocationData[[#This Row],[Deep Green]]+ProcurementAllocationData[[#This Row],[LocalSol]]+ProcurementAllocationData[[#This Row],[GreenAccess]])</f>
        <v>31121</v>
      </c>
      <c r="T50" s="46"/>
      <c r="U50" s="46"/>
      <c r="V50" s="46"/>
      <c r="W50" s="46"/>
      <c r="X50" s="46"/>
      <c r="Y50" s="112">
        <f t="shared" si="19"/>
        <v>2053</v>
      </c>
      <c r="Z50" s="150">
        <f t="shared" si="20"/>
        <v>0</v>
      </c>
      <c r="AA50" s="150">
        <f t="shared" si="21"/>
        <v>2053</v>
      </c>
      <c r="AB50" s="113">
        <f t="shared" si="22"/>
        <v>0</v>
      </c>
      <c r="AD50" s="272" t="str">
        <f t="shared" si="23"/>
        <v>CM48 - CM48</v>
      </c>
      <c r="AE50" s="273">
        <f t="shared" si="24"/>
        <v>0</v>
      </c>
      <c r="AF50" s="273">
        <f t="shared" si="25"/>
        <v>0</v>
      </c>
      <c r="AG50" s="273">
        <f t="shared" si="26"/>
        <v>0</v>
      </c>
      <c r="AH50" s="273">
        <f t="shared" si="27"/>
        <v>0</v>
      </c>
      <c r="AI50" s="273">
        <f t="shared" si="28"/>
        <v>0</v>
      </c>
      <c r="AJ50" s="273">
        <f t="shared" si="29"/>
        <v>0</v>
      </c>
      <c r="AK50" s="273">
        <f t="shared" si="30"/>
        <v>0</v>
      </c>
      <c r="AL50" s="274">
        <f t="shared" si="31"/>
        <v>0</v>
      </c>
      <c r="AN50" s="75" t="str">
        <f t="shared" si="32"/>
        <v>-</v>
      </c>
      <c r="AO50" s="75" t="str">
        <f t="shared" si="33"/>
        <v>-</v>
      </c>
      <c r="AP50" s="48">
        <f t="shared" si="36"/>
        <v>0</v>
      </c>
      <c r="AQ50" s="48">
        <f t="shared" si="34"/>
        <v>0</v>
      </c>
      <c r="AR50" s="49">
        <f t="shared" si="35"/>
        <v>0</v>
      </c>
    </row>
    <row r="51" spans="1:44" ht="15">
      <c r="A51" s="38" t="s">
        <v>3861</v>
      </c>
      <c r="B51" s="38" t="s">
        <v>26</v>
      </c>
      <c r="C51" s="38" t="s">
        <v>3771</v>
      </c>
      <c r="D51" s="38" t="s">
        <v>3862</v>
      </c>
      <c r="E51" s="38" t="s">
        <v>3838</v>
      </c>
      <c r="F51" s="38" t="s">
        <v>3443</v>
      </c>
      <c r="G51" s="47">
        <f t="shared" si="16"/>
        <v>4.3727031303423702E-2</v>
      </c>
      <c r="H51" s="44">
        <v>784</v>
      </c>
      <c r="I51" s="44"/>
      <c r="J51" s="45">
        <f t="shared" si="17"/>
        <v>784</v>
      </c>
      <c r="K51" s="38"/>
      <c r="L51" s="38"/>
      <c r="M51" s="38"/>
      <c r="N51" s="34">
        <f>VLOOKUP(F51,'GHG Emissions Factors'!$B$2:$C$4000,2,FALSE)</f>
        <v>0.97609999999999997</v>
      </c>
      <c r="O51" s="45">
        <f t="shared" si="18"/>
        <v>765.26239999999996</v>
      </c>
      <c r="P51" s="34">
        <f>IF(L51="yes", 0, _xlfn.XLOOKUP(F51, 'GHG Emissions Factors'!$B$2:$B$4000, 'GHG Emissions Factors'!$D$2:$D$4000, 0))</f>
        <v>0.20119999999999999</v>
      </c>
      <c r="Q51" s="46"/>
      <c r="R51" s="46"/>
      <c r="S51" s="46">
        <f>ProcurementAllocationData[[#This Row],[Net MWhs Procured]]-(ProcurementAllocationData[[#This Row],[Deep Green]]+ProcurementAllocationData[[#This Row],[LocalSol]]+ProcurementAllocationData[[#This Row],[GreenAccess]])</f>
        <v>784</v>
      </c>
      <c r="T51" s="46"/>
      <c r="U51" s="46"/>
      <c r="V51" s="46"/>
      <c r="W51" s="46"/>
      <c r="X51" s="46"/>
      <c r="Y51" s="112">
        <f t="shared" si="19"/>
        <v>34</v>
      </c>
      <c r="Z51" s="150">
        <f t="shared" si="20"/>
        <v>0</v>
      </c>
      <c r="AA51" s="150">
        <f t="shared" si="21"/>
        <v>34</v>
      </c>
      <c r="AB51" s="113">
        <f t="shared" si="22"/>
        <v>0</v>
      </c>
      <c r="AD51" s="272" t="str">
        <f t="shared" si="23"/>
        <v>CMSA Expanded Biogas Generator - CMSA Expanded Biogas Generator</v>
      </c>
      <c r="AE51" s="273">
        <f t="shared" si="24"/>
        <v>0</v>
      </c>
      <c r="AF51" s="273">
        <f t="shared" si="25"/>
        <v>0</v>
      </c>
      <c r="AG51" s="273">
        <f t="shared" si="26"/>
        <v>157.74079999999998</v>
      </c>
      <c r="AH51" s="273">
        <f t="shared" si="27"/>
        <v>0</v>
      </c>
      <c r="AI51" s="273">
        <f t="shared" si="28"/>
        <v>0</v>
      </c>
      <c r="AJ51" s="273">
        <f t="shared" si="29"/>
        <v>0</v>
      </c>
      <c r="AK51" s="273">
        <f t="shared" si="30"/>
        <v>0</v>
      </c>
      <c r="AL51" s="274">
        <f t="shared" si="31"/>
        <v>0</v>
      </c>
      <c r="AN51" s="75" t="str">
        <f t="shared" si="32"/>
        <v>-</v>
      </c>
      <c r="AO51" s="75" t="str">
        <f t="shared" si="33"/>
        <v>-</v>
      </c>
      <c r="AP51" s="48">
        <f t="shared" si="36"/>
        <v>0</v>
      </c>
      <c r="AQ51" s="48">
        <f t="shared" si="34"/>
        <v>0</v>
      </c>
      <c r="AR51" s="49">
        <f t="shared" si="35"/>
        <v>0</v>
      </c>
    </row>
    <row r="52" spans="1:44" ht="15">
      <c r="A52" s="38" t="s">
        <v>3863</v>
      </c>
      <c r="B52" s="38" t="s">
        <v>28</v>
      </c>
      <c r="C52" s="38" t="s">
        <v>3771</v>
      </c>
      <c r="D52" s="38" t="s">
        <v>3864</v>
      </c>
      <c r="E52" s="38" t="s">
        <v>3865</v>
      </c>
      <c r="F52" s="38">
        <v>227</v>
      </c>
      <c r="G52" s="47">
        <f t="shared" si="16"/>
        <v>4.3727031303423702E-2</v>
      </c>
      <c r="H52" s="44">
        <v>14681</v>
      </c>
      <c r="I52" s="44"/>
      <c r="J52" s="45">
        <f t="shared" ref="J52:J115" si="38">H52-I52</f>
        <v>14681</v>
      </c>
      <c r="K52" s="38"/>
      <c r="L52" s="38"/>
      <c r="M52" s="38"/>
      <c r="N52" s="34">
        <f>VLOOKUP(F52,'GHG Emissions Factors'!$B$2:$C$4000,2,FALSE)</f>
        <v>0</v>
      </c>
      <c r="O52" s="45">
        <f t="shared" si="18"/>
        <v>0</v>
      </c>
      <c r="P52" s="34">
        <f>IF(L52="yes", 0, _xlfn.XLOOKUP(F52, 'GHG Emissions Factors'!$B$2:$B$4000, 'GHG Emissions Factors'!$D$2:$D$4000, 0))</f>
        <v>0</v>
      </c>
      <c r="Q52" s="46"/>
      <c r="R52" s="46"/>
      <c r="S52" s="46">
        <f>ProcurementAllocationData[[#This Row],[Net MWhs Procured]]-(ProcurementAllocationData[[#This Row],[Deep Green]]+ProcurementAllocationData[[#This Row],[LocalSol]]+ProcurementAllocationData[[#This Row],[GreenAccess]])</f>
        <v>14681</v>
      </c>
      <c r="T52" s="46"/>
      <c r="U52" s="46"/>
      <c r="V52" s="46"/>
      <c r="W52" s="46"/>
      <c r="X52" s="46"/>
      <c r="Y52" s="112">
        <f t="shared" si="19"/>
        <v>642</v>
      </c>
      <c r="Z52" s="150">
        <f t="shared" si="20"/>
        <v>0</v>
      </c>
      <c r="AA52" s="150">
        <f t="shared" si="21"/>
        <v>642</v>
      </c>
      <c r="AB52" s="113">
        <f t="shared" si="22"/>
        <v>0</v>
      </c>
      <c r="AD52" s="272" t="str">
        <f t="shared" si="23"/>
        <v>Coleman Powerhouse - Coleman Powerhouse</v>
      </c>
      <c r="AE52" s="273">
        <f t="shared" si="24"/>
        <v>0</v>
      </c>
      <c r="AF52" s="273">
        <f t="shared" si="25"/>
        <v>0</v>
      </c>
      <c r="AG52" s="273">
        <f t="shared" si="26"/>
        <v>0</v>
      </c>
      <c r="AH52" s="273">
        <f t="shared" si="27"/>
        <v>0</v>
      </c>
      <c r="AI52" s="273">
        <f t="shared" si="28"/>
        <v>0</v>
      </c>
      <c r="AJ52" s="273">
        <f t="shared" si="29"/>
        <v>0</v>
      </c>
      <c r="AK52" s="273">
        <f t="shared" si="30"/>
        <v>0</v>
      </c>
      <c r="AL52" s="274">
        <f t="shared" si="31"/>
        <v>0</v>
      </c>
      <c r="AN52" s="75" t="str">
        <f t="shared" si="32"/>
        <v>-</v>
      </c>
      <c r="AO52" s="75" t="str">
        <f t="shared" si="33"/>
        <v>-</v>
      </c>
      <c r="AP52" s="48">
        <f t="shared" si="36"/>
        <v>0</v>
      </c>
      <c r="AQ52" s="48">
        <f t="shared" si="34"/>
        <v>0</v>
      </c>
      <c r="AR52" s="49">
        <f t="shared" si="35"/>
        <v>0</v>
      </c>
    </row>
    <row r="53" spans="1:44" ht="15">
      <c r="A53" s="38" t="s">
        <v>3866</v>
      </c>
      <c r="B53" s="38" t="s">
        <v>29</v>
      </c>
      <c r="C53" s="38" t="s">
        <v>3771</v>
      </c>
      <c r="D53" s="38" t="s">
        <v>3867</v>
      </c>
      <c r="E53" s="38" t="s">
        <v>3868</v>
      </c>
      <c r="F53" s="38" t="s">
        <v>3445</v>
      </c>
      <c r="G53" s="47">
        <f t="shared" si="16"/>
        <v>4.3727031303423702E-2</v>
      </c>
      <c r="H53" s="44">
        <v>352</v>
      </c>
      <c r="I53" s="44"/>
      <c r="J53" s="45">
        <f t="shared" si="38"/>
        <v>352</v>
      </c>
      <c r="K53" s="38"/>
      <c r="L53" s="38"/>
      <c r="M53" s="38"/>
      <c r="N53" s="34">
        <f>VLOOKUP(F53,'GHG Emissions Factors'!$B$2:$C$4000,2,FALSE)</f>
        <v>0</v>
      </c>
      <c r="O53" s="45">
        <f t="shared" si="18"/>
        <v>0</v>
      </c>
      <c r="P53" s="34">
        <f>IF(L53="yes", 0, _xlfn.XLOOKUP(F53, 'GHG Emissions Factors'!$B$2:$B$4000, 'GHG Emissions Factors'!$D$2:$D$4000, 0))</f>
        <v>0</v>
      </c>
      <c r="Q53" s="46"/>
      <c r="R53" s="46"/>
      <c r="S53" s="46">
        <f>ProcurementAllocationData[[#This Row],[Net MWhs Procured]]-(ProcurementAllocationData[[#This Row],[Deep Green]]+ProcurementAllocationData[[#This Row],[LocalSol]]+ProcurementAllocationData[[#This Row],[GreenAccess]])</f>
        <v>352</v>
      </c>
      <c r="T53" s="46"/>
      <c r="U53" s="46"/>
      <c r="V53" s="46"/>
      <c r="W53" s="46"/>
      <c r="X53" s="46"/>
      <c r="Y53" s="112">
        <f t="shared" si="19"/>
        <v>15</v>
      </c>
      <c r="Z53" s="150">
        <f t="shared" si="20"/>
        <v>0</v>
      </c>
      <c r="AA53" s="150">
        <f t="shared" si="21"/>
        <v>15</v>
      </c>
      <c r="AB53" s="113">
        <f t="shared" si="22"/>
        <v>0</v>
      </c>
      <c r="AD53" s="272" t="str">
        <f t="shared" si="23"/>
        <v>Cost Plus Plaza - Cost Plus Plaza</v>
      </c>
      <c r="AE53" s="273">
        <f t="shared" si="24"/>
        <v>0</v>
      </c>
      <c r="AF53" s="273">
        <f t="shared" si="25"/>
        <v>0</v>
      </c>
      <c r="AG53" s="273">
        <f t="shared" si="26"/>
        <v>0</v>
      </c>
      <c r="AH53" s="273">
        <f t="shared" si="27"/>
        <v>0</v>
      </c>
      <c r="AI53" s="273">
        <f t="shared" si="28"/>
        <v>0</v>
      </c>
      <c r="AJ53" s="273">
        <f t="shared" si="29"/>
        <v>0</v>
      </c>
      <c r="AK53" s="273">
        <f t="shared" si="30"/>
        <v>0</v>
      </c>
      <c r="AL53" s="274">
        <f t="shared" si="31"/>
        <v>0</v>
      </c>
      <c r="AN53" s="75" t="str">
        <f t="shared" si="32"/>
        <v>-</v>
      </c>
      <c r="AO53" s="75" t="str">
        <f t="shared" si="33"/>
        <v>-</v>
      </c>
      <c r="AP53" s="48">
        <f t="shared" si="36"/>
        <v>0</v>
      </c>
      <c r="AQ53" s="48">
        <f t="shared" si="34"/>
        <v>0</v>
      </c>
      <c r="AR53" s="49">
        <f t="shared" si="35"/>
        <v>0</v>
      </c>
    </row>
    <row r="54" spans="1:44" ht="15">
      <c r="A54" s="38" t="s">
        <v>3869</v>
      </c>
      <c r="B54" s="38" t="s">
        <v>29</v>
      </c>
      <c r="C54" s="38" t="s">
        <v>3771</v>
      </c>
      <c r="D54" s="38" t="s">
        <v>3870</v>
      </c>
      <c r="E54" s="38" t="s">
        <v>3871</v>
      </c>
      <c r="F54" s="38">
        <v>64852</v>
      </c>
      <c r="G54" s="47">
        <f t="shared" si="16"/>
        <v>4.3727031303423702E-2</v>
      </c>
      <c r="H54" s="44">
        <v>326513</v>
      </c>
      <c r="I54" s="44">
        <v>57427</v>
      </c>
      <c r="J54" s="45">
        <f t="shared" si="38"/>
        <v>269086</v>
      </c>
      <c r="K54" s="38"/>
      <c r="L54" s="38"/>
      <c r="M54" s="38"/>
      <c r="N54" s="34">
        <f>VLOOKUP(F54,'GHG Emissions Factors'!$B$2:$C$4000,2,FALSE)</f>
        <v>0</v>
      </c>
      <c r="O54" s="45">
        <f t="shared" si="18"/>
        <v>0</v>
      </c>
      <c r="P54" s="34">
        <f>IF(L54="yes", 0, _xlfn.XLOOKUP(F54, 'GHG Emissions Factors'!$B$2:$B$4000, 'GHG Emissions Factors'!$D$2:$D$4000, 0))</f>
        <v>0</v>
      </c>
      <c r="Q54" s="46"/>
      <c r="R54" s="46"/>
      <c r="S54" s="46">
        <f>ProcurementAllocationData[[#This Row],[Net MWhs Procured]]-(ProcurementAllocationData[[#This Row],[Deep Green]]+ProcurementAllocationData[[#This Row],[LocalSol]]+ProcurementAllocationData[[#This Row],[GreenAccess]])</f>
        <v>269086</v>
      </c>
      <c r="T54" s="46"/>
      <c r="U54" s="46"/>
      <c r="V54" s="46"/>
      <c r="W54" s="46"/>
      <c r="X54" s="46"/>
      <c r="Y54" s="112">
        <f t="shared" si="19"/>
        <v>11766</v>
      </c>
      <c r="Z54" s="150">
        <f t="shared" si="20"/>
        <v>0</v>
      </c>
      <c r="AA54" s="150">
        <f t="shared" si="21"/>
        <v>11766</v>
      </c>
      <c r="AB54" s="113">
        <f t="shared" si="22"/>
        <v>0</v>
      </c>
      <c r="AD54" s="272" t="str">
        <f t="shared" si="23"/>
        <v>Daggett Solar Power 3, LLC- Marin Clean Energy</v>
      </c>
      <c r="AE54" s="273">
        <f t="shared" si="24"/>
        <v>0</v>
      </c>
      <c r="AF54" s="273">
        <f t="shared" si="25"/>
        <v>0</v>
      </c>
      <c r="AG54" s="273">
        <f t="shared" si="26"/>
        <v>0</v>
      </c>
      <c r="AH54" s="273">
        <f t="shared" si="27"/>
        <v>0</v>
      </c>
      <c r="AI54" s="273">
        <f t="shared" si="28"/>
        <v>0</v>
      </c>
      <c r="AJ54" s="273">
        <f t="shared" si="29"/>
        <v>0</v>
      </c>
      <c r="AK54" s="273">
        <f t="shared" si="30"/>
        <v>0</v>
      </c>
      <c r="AL54" s="274">
        <f t="shared" si="31"/>
        <v>0</v>
      </c>
      <c r="AN54" s="75" t="str">
        <f t="shared" si="32"/>
        <v>-</v>
      </c>
      <c r="AO54" s="75" t="str">
        <f t="shared" si="33"/>
        <v>-</v>
      </c>
      <c r="AP54" s="48">
        <f t="shared" si="36"/>
        <v>0</v>
      </c>
      <c r="AQ54" s="48">
        <f t="shared" si="34"/>
        <v>0</v>
      </c>
      <c r="AR54" s="49">
        <f t="shared" si="35"/>
        <v>0</v>
      </c>
    </row>
    <row r="55" spans="1:44" ht="15">
      <c r="A55" s="38" t="s">
        <v>3872</v>
      </c>
      <c r="B55" s="38" t="s">
        <v>28</v>
      </c>
      <c r="C55" s="38" t="s">
        <v>3771</v>
      </c>
      <c r="D55" s="38" t="s">
        <v>3873</v>
      </c>
      <c r="E55" s="38" t="s">
        <v>3874</v>
      </c>
      <c r="F55" s="38">
        <v>232</v>
      </c>
      <c r="G55" s="47">
        <f t="shared" si="16"/>
        <v>4.3727031303423702E-2</v>
      </c>
      <c r="H55" s="44">
        <v>5276</v>
      </c>
      <c r="I55" s="44"/>
      <c r="J55" s="45">
        <f t="shared" si="38"/>
        <v>5276</v>
      </c>
      <c r="K55" s="38"/>
      <c r="L55" s="38"/>
      <c r="M55" s="38"/>
      <c r="N55" s="34">
        <f>VLOOKUP(F55,'GHG Emissions Factors'!$B$2:$C$4000,2,FALSE)</f>
        <v>0</v>
      </c>
      <c r="O55" s="45">
        <f t="shared" si="18"/>
        <v>0</v>
      </c>
      <c r="P55" s="34">
        <f>IF(L55="yes", 0, _xlfn.XLOOKUP(F55, 'GHG Emissions Factors'!$B$2:$B$4000, 'GHG Emissions Factors'!$D$2:$D$4000, 0))</f>
        <v>0</v>
      </c>
      <c r="Q55" s="46"/>
      <c r="R55" s="46"/>
      <c r="S55" s="46">
        <f>ProcurementAllocationData[[#This Row],[Net MWhs Procured]]-(ProcurementAllocationData[[#This Row],[Deep Green]]+ProcurementAllocationData[[#This Row],[LocalSol]]+ProcurementAllocationData[[#This Row],[GreenAccess]])</f>
        <v>5276</v>
      </c>
      <c r="T55" s="46"/>
      <c r="U55" s="46"/>
      <c r="V55" s="46"/>
      <c r="W55" s="46"/>
      <c r="X55" s="46"/>
      <c r="Y55" s="112">
        <f t="shared" si="19"/>
        <v>231</v>
      </c>
      <c r="Z55" s="150">
        <f t="shared" si="20"/>
        <v>0</v>
      </c>
      <c r="AA55" s="150">
        <f t="shared" si="21"/>
        <v>231</v>
      </c>
      <c r="AB55" s="113">
        <f t="shared" si="22"/>
        <v>0</v>
      </c>
      <c r="AD55" s="272" t="str">
        <f t="shared" si="23"/>
        <v>De Sabla Powerhouse - De Sabla Powerhouse</v>
      </c>
      <c r="AE55" s="273">
        <f t="shared" si="24"/>
        <v>0</v>
      </c>
      <c r="AF55" s="273">
        <f t="shared" si="25"/>
        <v>0</v>
      </c>
      <c r="AG55" s="273">
        <f t="shared" si="26"/>
        <v>0</v>
      </c>
      <c r="AH55" s="273">
        <f t="shared" si="27"/>
        <v>0</v>
      </c>
      <c r="AI55" s="273">
        <f t="shared" si="28"/>
        <v>0</v>
      </c>
      <c r="AJ55" s="273">
        <f t="shared" si="29"/>
        <v>0</v>
      </c>
      <c r="AK55" s="273">
        <f t="shared" si="30"/>
        <v>0</v>
      </c>
      <c r="AL55" s="274">
        <f t="shared" si="31"/>
        <v>0</v>
      </c>
      <c r="AN55" s="75" t="str">
        <f t="shared" si="32"/>
        <v>-</v>
      </c>
      <c r="AO55" s="75" t="str">
        <f t="shared" si="33"/>
        <v>-</v>
      </c>
      <c r="AP55" s="48">
        <f t="shared" si="36"/>
        <v>0</v>
      </c>
      <c r="AQ55" s="48">
        <f t="shared" si="34"/>
        <v>0</v>
      </c>
      <c r="AR55" s="49">
        <f t="shared" si="35"/>
        <v>0</v>
      </c>
    </row>
    <row r="56" spans="1:44" ht="15">
      <c r="A56" s="38" t="s">
        <v>3875</v>
      </c>
      <c r="B56" s="38" t="s">
        <v>29</v>
      </c>
      <c r="C56" s="38" t="s">
        <v>3771</v>
      </c>
      <c r="D56" s="38" t="s">
        <v>3876</v>
      </c>
      <c r="E56" s="38" t="s">
        <v>3877</v>
      </c>
      <c r="F56" s="38">
        <v>62177</v>
      </c>
      <c r="G56" s="47">
        <f t="shared" si="16"/>
        <v>4.3727031303423702E-2</v>
      </c>
      <c r="H56" s="44">
        <v>231037</v>
      </c>
      <c r="I56" s="44">
        <v>42518</v>
      </c>
      <c r="J56" s="45">
        <f t="shared" si="38"/>
        <v>188519</v>
      </c>
      <c r="K56" s="38"/>
      <c r="L56" s="38"/>
      <c r="M56" s="38"/>
      <c r="N56" s="34">
        <f>VLOOKUP(F56,'GHG Emissions Factors'!$B$2:$C$4000,2,FALSE)</f>
        <v>0</v>
      </c>
      <c r="O56" s="45">
        <f t="shared" si="18"/>
        <v>0</v>
      </c>
      <c r="P56" s="34">
        <f>IF(L56="yes", 0, _xlfn.XLOOKUP(F56, 'GHG Emissions Factors'!$B$2:$B$4000, 'GHG Emissions Factors'!$D$2:$D$4000, 0))</f>
        <v>0</v>
      </c>
      <c r="Q56" s="46"/>
      <c r="R56" s="46"/>
      <c r="S56" s="46">
        <f>ProcurementAllocationData[[#This Row],[Net MWhs Procured]]-(ProcurementAllocationData[[#This Row],[Deep Green]]+ProcurementAllocationData[[#This Row],[LocalSol]]+ProcurementAllocationData[[#This Row],[GreenAccess]])</f>
        <v>188519</v>
      </c>
      <c r="T56" s="46"/>
      <c r="U56" s="46"/>
      <c r="V56" s="46"/>
      <c r="W56" s="46"/>
      <c r="X56" s="46"/>
      <c r="Y56" s="112">
        <f t="shared" si="19"/>
        <v>8243</v>
      </c>
      <c r="Z56" s="150">
        <f t="shared" si="20"/>
        <v>0</v>
      </c>
      <c r="AA56" s="150">
        <f t="shared" si="21"/>
        <v>8243</v>
      </c>
      <c r="AB56" s="113">
        <f t="shared" si="22"/>
        <v>0</v>
      </c>
      <c r="AD56" s="272" t="str">
        <f t="shared" si="23"/>
        <v>Desert Harvest - Desert Harvest</v>
      </c>
      <c r="AE56" s="273">
        <f t="shared" si="24"/>
        <v>0</v>
      </c>
      <c r="AF56" s="273">
        <f t="shared" si="25"/>
        <v>0</v>
      </c>
      <c r="AG56" s="273">
        <f t="shared" si="26"/>
        <v>0</v>
      </c>
      <c r="AH56" s="273">
        <f t="shared" si="27"/>
        <v>0</v>
      </c>
      <c r="AI56" s="273">
        <f t="shared" si="28"/>
        <v>0</v>
      </c>
      <c r="AJ56" s="273">
        <f t="shared" si="29"/>
        <v>0</v>
      </c>
      <c r="AK56" s="273">
        <f t="shared" si="30"/>
        <v>0</v>
      </c>
      <c r="AL56" s="274">
        <f t="shared" si="31"/>
        <v>0</v>
      </c>
      <c r="AN56" s="75" t="str">
        <f t="shared" si="32"/>
        <v>-</v>
      </c>
      <c r="AO56" s="75" t="str">
        <f t="shared" si="33"/>
        <v>-</v>
      </c>
      <c r="AP56" s="48">
        <f t="shared" si="36"/>
        <v>0</v>
      </c>
      <c r="AQ56" s="48">
        <f t="shared" si="34"/>
        <v>0</v>
      </c>
      <c r="AR56" s="49">
        <f t="shared" si="35"/>
        <v>0</v>
      </c>
    </row>
    <row r="57" spans="1:44" ht="15">
      <c r="A57" s="38" t="s">
        <v>3878</v>
      </c>
      <c r="B57" s="38" t="s">
        <v>30</v>
      </c>
      <c r="C57" s="38" t="s">
        <v>3771</v>
      </c>
      <c r="D57" s="38" t="s">
        <v>3879</v>
      </c>
      <c r="E57" s="38" t="s">
        <v>3880</v>
      </c>
      <c r="F57" s="38">
        <v>56271</v>
      </c>
      <c r="G57" s="47">
        <f t="shared" si="16"/>
        <v>4.3727031303423702E-2</v>
      </c>
      <c r="H57" s="44">
        <v>8656</v>
      </c>
      <c r="I57" s="44"/>
      <c r="J57" s="45">
        <f t="shared" si="38"/>
        <v>8656</v>
      </c>
      <c r="K57" s="38"/>
      <c r="L57" s="38"/>
      <c r="M57" s="38"/>
      <c r="N57" s="34">
        <f>VLOOKUP(F57,'GHG Emissions Factors'!$B$2:$C$4000,2,FALSE)</f>
        <v>0</v>
      </c>
      <c r="O57" s="45">
        <f t="shared" si="18"/>
        <v>0</v>
      </c>
      <c r="P57" s="34">
        <f>IF(L57="yes", 0, _xlfn.XLOOKUP(F57, 'GHG Emissions Factors'!$B$2:$B$4000, 'GHG Emissions Factors'!$D$2:$D$4000, 0))</f>
        <v>0</v>
      </c>
      <c r="Q57" s="46"/>
      <c r="R57" s="46"/>
      <c r="S57" s="46">
        <f>ProcurementAllocationData[[#This Row],[Net MWhs Procured]]-(ProcurementAllocationData[[#This Row],[Deep Green]]+ProcurementAllocationData[[#This Row],[LocalSol]]+ProcurementAllocationData[[#This Row],[GreenAccess]])</f>
        <v>8656</v>
      </c>
      <c r="T57" s="46"/>
      <c r="U57" s="46"/>
      <c r="V57" s="46"/>
      <c r="W57" s="46"/>
      <c r="X57" s="46"/>
      <c r="Y57" s="112">
        <f t="shared" si="19"/>
        <v>379</v>
      </c>
      <c r="Z57" s="150">
        <f t="shared" si="20"/>
        <v>0</v>
      </c>
      <c r="AA57" s="150">
        <f t="shared" si="21"/>
        <v>379</v>
      </c>
      <c r="AB57" s="113">
        <f t="shared" si="22"/>
        <v>0</v>
      </c>
      <c r="AD57" s="272" t="str">
        <f t="shared" si="23"/>
        <v>Diablo Winds, LLC - Diablo Winds, LLC</v>
      </c>
      <c r="AE57" s="273">
        <f t="shared" si="24"/>
        <v>0</v>
      </c>
      <c r="AF57" s="273">
        <f t="shared" si="25"/>
        <v>0</v>
      </c>
      <c r="AG57" s="273">
        <f t="shared" si="26"/>
        <v>0</v>
      </c>
      <c r="AH57" s="273">
        <f t="shared" si="27"/>
        <v>0</v>
      </c>
      <c r="AI57" s="273">
        <f t="shared" si="28"/>
        <v>0</v>
      </c>
      <c r="AJ57" s="273">
        <f t="shared" si="29"/>
        <v>0</v>
      </c>
      <c r="AK57" s="273">
        <f t="shared" si="30"/>
        <v>0</v>
      </c>
      <c r="AL57" s="274">
        <f t="shared" si="31"/>
        <v>0</v>
      </c>
      <c r="AN57" s="75" t="str">
        <f t="shared" si="32"/>
        <v>-</v>
      </c>
      <c r="AO57" s="75" t="str">
        <f t="shared" si="33"/>
        <v>-</v>
      </c>
      <c r="AP57" s="48">
        <f t="shared" si="36"/>
        <v>0</v>
      </c>
      <c r="AQ57" s="48">
        <f t="shared" si="34"/>
        <v>0</v>
      </c>
      <c r="AR57" s="49">
        <f t="shared" si="35"/>
        <v>0</v>
      </c>
    </row>
    <row r="58" spans="1:44" ht="15">
      <c r="A58" s="38" t="s">
        <v>3881</v>
      </c>
      <c r="B58" s="38" t="s">
        <v>29</v>
      </c>
      <c r="C58" s="38" t="s">
        <v>3771</v>
      </c>
      <c r="D58" s="38" t="s">
        <v>3882</v>
      </c>
      <c r="E58" s="38" t="s">
        <v>3883</v>
      </c>
      <c r="F58" s="38" t="s">
        <v>3447</v>
      </c>
      <c r="G58" s="47">
        <f t="shared" si="16"/>
        <v>4.3727031303423702E-2</v>
      </c>
      <c r="H58" s="44">
        <v>2187</v>
      </c>
      <c r="I58" s="44"/>
      <c r="J58" s="45">
        <f t="shared" si="38"/>
        <v>2187</v>
      </c>
      <c r="K58" s="38"/>
      <c r="L58" s="38"/>
      <c r="M58" s="38"/>
      <c r="N58" s="34">
        <f>VLOOKUP(F58,'GHG Emissions Factors'!$B$2:$C$4000,2,FALSE)</f>
        <v>0</v>
      </c>
      <c r="O58" s="45">
        <f t="shared" si="18"/>
        <v>0</v>
      </c>
      <c r="P58" s="34">
        <f>IF(L58="yes", 0, _xlfn.XLOOKUP(F58, 'GHG Emissions Factors'!$B$2:$B$4000, 'GHG Emissions Factors'!$D$2:$D$4000, 0))</f>
        <v>0</v>
      </c>
      <c r="Q58" s="46"/>
      <c r="R58" s="46">
        <v>2123.2023100000001</v>
      </c>
      <c r="S58" s="46">
        <f>ProcurementAllocationData[[#This Row],[Net MWhs Procured]]-(ProcurementAllocationData[[#This Row],[Deep Green]]+ProcurementAllocationData[[#This Row],[LocalSol]]+ProcurementAllocationData[[#This Row],[GreenAccess]])</f>
        <v>63.797689999999875</v>
      </c>
      <c r="T58" s="46"/>
      <c r="U58" s="46"/>
      <c r="V58" s="46"/>
      <c r="W58" s="46"/>
      <c r="X58" s="46"/>
      <c r="Y58" s="112">
        <f t="shared" si="19"/>
        <v>96</v>
      </c>
      <c r="Z58" s="150">
        <f t="shared" si="20"/>
        <v>0</v>
      </c>
      <c r="AA58" s="150">
        <f t="shared" si="21"/>
        <v>96</v>
      </c>
      <c r="AB58" s="113">
        <f t="shared" si="22"/>
        <v>0</v>
      </c>
      <c r="AD58" s="272" t="str">
        <f t="shared" si="23"/>
        <v>DRES Quarry 1 - DRES Quarry 1</v>
      </c>
      <c r="AE58" s="273">
        <f t="shared" si="24"/>
        <v>0</v>
      </c>
      <c r="AF58" s="273">
        <f t="shared" si="25"/>
        <v>0</v>
      </c>
      <c r="AG58" s="273">
        <f t="shared" si="26"/>
        <v>0</v>
      </c>
      <c r="AH58" s="273">
        <f t="shared" si="27"/>
        <v>0</v>
      </c>
      <c r="AI58" s="273">
        <f t="shared" si="28"/>
        <v>0</v>
      </c>
      <c r="AJ58" s="273">
        <f t="shared" si="29"/>
        <v>0</v>
      </c>
      <c r="AK58" s="273">
        <f t="shared" si="30"/>
        <v>0</v>
      </c>
      <c r="AL58" s="274">
        <f t="shared" si="31"/>
        <v>0</v>
      </c>
      <c r="AN58" s="75" t="str">
        <f t="shared" si="32"/>
        <v>-</v>
      </c>
      <c r="AO58" s="75" t="str">
        <f t="shared" si="33"/>
        <v>-</v>
      </c>
      <c r="AP58" s="48">
        <f t="shared" si="36"/>
        <v>0</v>
      </c>
      <c r="AQ58" s="48">
        <f t="shared" si="34"/>
        <v>0</v>
      </c>
      <c r="AR58" s="49">
        <f t="shared" si="35"/>
        <v>0</v>
      </c>
    </row>
    <row r="59" spans="1:44" ht="15">
      <c r="A59" s="38" t="s">
        <v>3448</v>
      </c>
      <c r="B59" s="38" t="s">
        <v>29</v>
      </c>
      <c r="C59" s="38" t="s">
        <v>3771</v>
      </c>
      <c r="D59" s="38" t="s">
        <v>3884</v>
      </c>
      <c r="E59" s="38" t="s">
        <v>3885</v>
      </c>
      <c r="F59" s="38" t="s">
        <v>3449</v>
      </c>
      <c r="G59" s="47">
        <f t="shared" si="16"/>
        <v>4.3727031303423702E-2</v>
      </c>
      <c r="H59" s="44">
        <v>137</v>
      </c>
      <c r="I59" s="44"/>
      <c r="J59" s="45">
        <f t="shared" si="38"/>
        <v>137</v>
      </c>
      <c r="K59" s="38"/>
      <c r="L59" s="38"/>
      <c r="M59" s="38"/>
      <c r="N59" s="34">
        <f>VLOOKUP(F59,'GHG Emissions Factors'!$B$2:$C$4000,2,FALSE)</f>
        <v>0</v>
      </c>
      <c r="O59" s="45">
        <f t="shared" si="18"/>
        <v>0</v>
      </c>
      <c r="P59" s="34">
        <f>IF(L59="yes", 0, _xlfn.XLOOKUP(F59, 'GHG Emissions Factors'!$B$2:$B$4000, 'GHG Emissions Factors'!$D$2:$D$4000, 0))</f>
        <v>0</v>
      </c>
      <c r="Q59" s="46"/>
      <c r="R59" s="46"/>
      <c r="S59" s="46">
        <f>ProcurementAllocationData[[#This Row],[Net MWhs Procured]]-(ProcurementAllocationData[[#This Row],[Deep Green]]+ProcurementAllocationData[[#This Row],[LocalSol]]+ProcurementAllocationData[[#This Row],[GreenAccess]])</f>
        <v>137</v>
      </c>
      <c r="T59" s="46"/>
      <c r="U59" s="46"/>
      <c r="V59" s="46"/>
      <c r="W59" s="46"/>
      <c r="X59" s="46"/>
      <c r="Y59" s="112">
        <f t="shared" si="19"/>
        <v>6</v>
      </c>
      <c r="Z59" s="150">
        <f t="shared" si="20"/>
        <v>0</v>
      </c>
      <c r="AA59" s="150">
        <f t="shared" si="21"/>
        <v>6</v>
      </c>
      <c r="AB59" s="113">
        <f t="shared" si="22"/>
        <v>0</v>
      </c>
      <c r="AD59" s="272" t="str">
        <f t="shared" si="23"/>
        <v>DRES Quarry 2.4 - DRES Quarry 2.4</v>
      </c>
      <c r="AE59" s="273">
        <f t="shared" si="24"/>
        <v>0</v>
      </c>
      <c r="AF59" s="273">
        <f t="shared" si="25"/>
        <v>0</v>
      </c>
      <c r="AG59" s="273">
        <f t="shared" si="26"/>
        <v>0</v>
      </c>
      <c r="AH59" s="273">
        <f t="shared" si="27"/>
        <v>0</v>
      </c>
      <c r="AI59" s="273">
        <f t="shared" si="28"/>
        <v>0</v>
      </c>
      <c r="AJ59" s="273">
        <f t="shared" si="29"/>
        <v>0</v>
      </c>
      <c r="AK59" s="273">
        <f t="shared" si="30"/>
        <v>0</v>
      </c>
      <c r="AL59" s="274">
        <f t="shared" si="31"/>
        <v>0</v>
      </c>
      <c r="AN59" s="75" t="str">
        <f t="shared" si="32"/>
        <v>-</v>
      </c>
      <c r="AO59" s="75" t="str">
        <f t="shared" si="33"/>
        <v>-</v>
      </c>
      <c r="AP59" s="48">
        <f t="shared" si="36"/>
        <v>0</v>
      </c>
      <c r="AQ59" s="48">
        <f t="shared" si="34"/>
        <v>0</v>
      </c>
      <c r="AR59" s="49">
        <f t="shared" si="35"/>
        <v>0</v>
      </c>
    </row>
    <row r="60" spans="1:44" ht="15">
      <c r="A60" s="38" t="s">
        <v>3886</v>
      </c>
      <c r="B60" s="38" t="s">
        <v>30</v>
      </c>
      <c r="C60" s="38" t="s">
        <v>3849</v>
      </c>
      <c r="D60" s="38" t="s">
        <v>3887</v>
      </c>
      <c r="E60" s="38" t="s">
        <v>3888</v>
      </c>
      <c r="F60" s="38">
        <v>64065</v>
      </c>
      <c r="G60" s="47">
        <f t="shared" si="16"/>
        <v>6.5978850116714893E-2</v>
      </c>
      <c r="H60" s="44">
        <v>14945</v>
      </c>
      <c r="I60" s="44"/>
      <c r="J60" s="45">
        <f t="shared" si="38"/>
        <v>14945</v>
      </c>
      <c r="K60" s="38"/>
      <c r="L60" s="38"/>
      <c r="M60" s="38"/>
      <c r="N60" s="34">
        <f>VLOOKUP(F60,'GHG Emissions Factors'!$B$2:$C$4000,2,FALSE)</f>
        <v>0</v>
      </c>
      <c r="O60" s="45">
        <f t="shared" si="18"/>
        <v>0</v>
      </c>
      <c r="P60" s="34">
        <f>IF(L60="yes", 0, _xlfn.XLOOKUP(F60, 'GHG Emissions Factors'!$B$2:$B$4000, 'GHG Emissions Factors'!$D$2:$D$4000, 0))</f>
        <v>0</v>
      </c>
      <c r="Q60" s="46"/>
      <c r="R60" s="46"/>
      <c r="S60" s="46">
        <f>ProcurementAllocationData[[#This Row],[Net MWhs Procured]]-(ProcurementAllocationData[[#This Row],[Deep Green]]+ProcurementAllocationData[[#This Row],[LocalSol]]+ProcurementAllocationData[[#This Row],[GreenAccess]])</f>
        <v>14945</v>
      </c>
      <c r="T60" s="46"/>
      <c r="U60" s="46"/>
      <c r="V60" s="46"/>
      <c r="W60" s="46"/>
      <c r="X60" s="46"/>
      <c r="Y60" s="112">
        <f t="shared" si="19"/>
        <v>986</v>
      </c>
      <c r="Z60" s="150">
        <f t="shared" si="20"/>
        <v>0</v>
      </c>
      <c r="AA60" s="150">
        <f t="shared" si="21"/>
        <v>986</v>
      </c>
      <c r="AB60" s="113">
        <f t="shared" si="22"/>
        <v>0</v>
      </c>
      <c r="AD60" s="272" t="str">
        <f t="shared" si="23"/>
        <v>Duran Mesa LLC - Duran Mesa LLC</v>
      </c>
      <c r="AE60" s="273">
        <f t="shared" si="24"/>
        <v>0</v>
      </c>
      <c r="AF60" s="273">
        <f t="shared" si="25"/>
        <v>0</v>
      </c>
      <c r="AG60" s="273">
        <f t="shared" si="26"/>
        <v>0</v>
      </c>
      <c r="AH60" s="273">
        <f t="shared" si="27"/>
        <v>0</v>
      </c>
      <c r="AI60" s="273">
        <f t="shared" si="28"/>
        <v>0</v>
      </c>
      <c r="AJ60" s="273">
        <f t="shared" si="29"/>
        <v>0</v>
      </c>
      <c r="AK60" s="273">
        <f t="shared" si="30"/>
        <v>0</v>
      </c>
      <c r="AL60" s="274">
        <f t="shared" si="31"/>
        <v>0</v>
      </c>
      <c r="AN60" s="75" t="str">
        <f t="shared" si="32"/>
        <v>-</v>
      </c>
      <c r="AO60" s="75" t="str">
        <f t="shared" si="33"/>
        <v>-</v>
      </c>
      <c r="AP60" s="48">
        <f t="shared" si="36"/>
        <v>0</v>
      </c>
      <c r="AQ60" s="48">
        <f t="shared" si="34"/>
        <v>0</v>
      </c>
      <c r="AR60" s="49">
        <f t="shared" si="35"/>
        <v>0</v>
      </c>
    </row>
    <row r="61" spans="1:44" ht="15">
      <c r="A61" s="38" t="s">
        <v>3889</v>
      </c>
      <c r="B61" s="38" t="s">
        <v>28</v>
      </c>
      <c r="C61" s="38" t="s">
        <v>3771</v>
      </c>
      <c r="D61" s="38" t="s">
        <v>3890</v>
      </c>
      <c r="E61" s="38" t="s">
        <v>3891</v>
      </c>
      <c r="F61" s="38">
        <v>413</v>
      </c>
      <c r="G61" s="47">
        <f t="shared" si="16"/>
        <v>4.3727031303423702E-2</v>
      </c>
      <c r="H61" s="44">
        <v>6691</v>
      </c>
      <c r="I61" s="44"/>
      <c r="J61" s="45">
        <f t="shared" si="38"/>
        <v>6691</v>
      </c>
      <c r="K61" s="38"/>
      <c r="L61" s="38"/>
      <c r="M61" s="38"/>
      <c r="N61" s="34">
        <f>VLOOKUP(F61,'GHG Emissions Factors'!$B$2:$C$4000,2,FALSE)</f>
        <v>0</v>
      </c>
      <c r="O61" s="45">
        <f t="shared" si="18"/>
        <v>0</v>
      </c>
      <c r="P61" s="34">
        <f>IF(L61="yes", 0, _xlfn.XLOOKUP(F61, 'GHG Emissions Factors'!$B$2:$B$4000, 'GHG Emissions Factors'!$D$2:$D$4000, 0))</f>
        <v>0</v>
      </c>
      <c r="Q61" s="46"/>
      <c r="R61" s="46"/>
      <c r="S61" s="46">
        <f>ProcurementAllocationData[[#This Row],[Net MWhs Procured]]-(ProcurementAllocationData[[#This Row],[Deep Green]]+ProcurementAllocationData[[#This Row],[LocalSol]]+ProcurementAllocationData[[#This Row],[GreenAccess]])</f>
        <v>6691</v>
      </c>
      <c r="T61" s="46"/>
      <c r="U61" s="46"/>
      <c r="V61" s="46"/>
      <c r="W61" s="46"/>
      <c r="X61" s="46"/>
      <c r="Y61" s="112">
        <f t="shared" si="19"/>
        <v>293</v>
      </c>
      <c r="Z61" s="150">
        <f t="shared" si="20"/>
        <v>0</v>
      </c>
      <c r="AA61" s="150">
        <f t="shared" si="21"/>
        <v>293</v>
      </c>
      <c r="AB61" s="113">
        <f t="shared" si="22"/>
        <v>0</v>
      </c>
      <c r="AD61" s="272" t="str">
        <f t="shared" si="23"/>
        <v>Dutch Flat #2 Powerhouse - Dutch Flat #2 Powerhouse</v>
      </c>
      <c r="AE61" s="273">
        <f t="shared" si="24"/>
        <v>0</v>
      </c>
      <c r="AF61" s="273">
        <f t="shared" si="25"/>
        <v>0</v>
      </c>
      <c r="AG61" s="273">
        <f t="shared" si="26"/>
        <v>0</v>
      </c>
      <c r="AH61" s="273">
        <f t="shared" si="27"/>
        <v>0</v>
      </c>
      <c r="AI61" s="273">
        <f t="shared" si="28"/>
        <v>0</v>
      </c>
      <c r="AJ61" s="273">
        <f t="shared" si="29"/>
        <v>0</v>
      </c>
      <c r="AK61" s="273">
        <f t="shared" si="30"/>
        <v>0</v>
      </c>
      <c r="AL61" s="274">
        <f t="shared" si="31"/>
        <v>0</v>
      </c>
      <c r="AN61" s="75" t="str">
        <f t="shared" si="32"/>
        <v>-</v>
      </c>
      <c r="AO61" s="75" t="str">
        <f t="shared" si="33"/>
        <v>-</v>
      </c>
      <c r="AP61" s="48">
        <f t="shared" si="36"/>
        <v>0</v>
      </c>
      <c r="AQ61" s="48">
        <f t="shared" si="34"/>
        <v>0</v>
      </c>
      <c r="AR61" s="49">
        <f t="shared" si="35"/>
        <v>0</v>
      </c>
    </row>
    <row r="62" spans="1:44" ht="15">
      <c r="A62" s="38" t="s">
        <v>3892</v>
      </c>
      <c r="B62" s="38" t="s">
        <v>28</v>
      </c>
      <c r="C62" s="38" t="s">
        <v>3771</v>
      </c>
      <c r="D62" s="38" t="s">
        <v>3893</v>
      </c>
      <c r="E62" s="38" t="s">
        <v>3894</v>
      </c>
      <c r="F62" s="38">
        <v>237</v>
      </c>
      <c r="G62" s="47">
        <f t="shared" si="16"/>
        <v>4.3727031303423702E-2</v>
      </c>
      <c r="H62" s="44">
        <v>15944</v>
      </c>
      <c r="I62" s="44"/>
      <c r="J62" s="45">
        <f t="shared" si="38"/>
        <v>15944</v>
      </c>
      <c r="K62" s="38"/>
      <c r="L62" s="38"/>
      <c r="M62" s="38"/>
      <c r="N62" s="34">
        <f>VLOOKUP(F62,'GHG Emissions Factors'!$B$2:$C$4000,2,FALSE)</f>
        <v>0</v>
      </c>
      <c r="O62" s="45">
        <f t="shared" si="18"/>
        <v>0</v>
      </c>
      <c r="P62" s="34">
        <f>IF(L62="yes", 0, _xlfn.XLOOKUP(F62, 'GHG Emissions Factors'!$B$2:$B$4000, 'GHG Emissions Factors'!$D$2:$D$4000, 0))</f>
        <v>0</v>
      </c>
      <c r="Q62" s="46"/>
      <c r="R62" s="46"/>
      <c r="S62" s="46">
        <f>ProcurementAllocationData[[#This Row],[Net MWhs Procured]]-(ProcurementAllocationData[[#This Row],[Deep Green]]+ProcurementAllocationData[[#This Row],[LocalSol]]+ProcurementAllocationData[[#This Row],[GreenAccess]])</f>
        <v>15944</v>
      </c>
      <c r="T62" s="46"/>
      <c r="U62" s="46"/>
      <c r="V62" s="46"/>
      <c r="W62" s="46"/>
      <c r="X62" s="46"/>
      <c r="Y62" s="112">
        <f t="shared" si="19"/>
        <v>697</v>
      </c>
      <c r="Z62" s="150">
        <f t="shared" si="20"/>
        <v>0</v>
      </c>
      <c r="AA62" s="150">
        <f t="shared" si="21"/>
        <v>697</v>
      </c>
      <c r="AB62" s="113">
        <f t="shared" si="22"/>
        <v>0</v>
      </c>
      <c r="AD62" s="272" t="str">
        <f t="shared" si="23"/>
        <v>Dutch Flat No. 1 Powerhouse - Dutch Flat No. 1 Powerhouse</v>
      </c>
      <c r="AE62" s="273">
        <f t="shared" si="24"/>
        <v>0</v>
      </c>
      <c r="AF62" s="273">
        <f t="shared" si="25"/>
        <v>0</v>
      </c>
      <c r="AG62" s="273">
        <f t="shared" si="26"/>
        <v>0</v>
      </c>
      <c r="AH62" s="273">
        <f t="shared" si="27"/>
        <v>0</v>
      </c>
      <c r="AI62" s="273">
        <f t="shared" si="28"/>
        <v>0</v>
      </c>
      <c r="AJ62" s="273">
        <f t="shared" si="29"/>
        <v>0</v>
      </c>
      <c r="AK62" s="273">
        <f t="shared" si="30"/>
        <v>0</v>
      </c>
      <c r="AL62" s="274">
        <f t="shared" si="31"/>
        <v>0</v>
      </c>
      <c r="AN62" s="75" t="str">
        <f t="shared" si="32"/>
        <v>-</v>
      </c>
      <c r="AO62" s="75" t="str">
        <f t="shared" si="33"/>
        <v>-</v>
      </c>
      <c r="AP62" s="48">
        <f t="shared" si="36"/>
        <v>0</v>
      </c>
      <c r="AQ62" s="48">
        <f t="shared" si="34"/>
        <v>0</v>
      </c>
      <c r="AR62" s="49">
        <f t="shared" si="35"/>
        <v>0</v>
      </c>
    </row>
    <row r="63" spans="1:44" ht="15">
      <c r="A63" s="38" t="s">
        <v>3895</v>
      </c>
      <c r="B63" s="38" t="s">
        <v>29</v>
      </c>
      <c r="C63" s="38" t="s">
        <v>3771</v>
      </c>
      <c r="D63" s="38" t="s">
        <v>3896</v>
      </c>
      <c r="E63" s="38" t="s">
        <v>3897</v>
      </c>
      <c r="F63" s="38" t="s">
        <v>3758</v>
      </c>
      <c r="G63" s="47">
        <f t="shared" si="16"/>
        <v>4.3727031303423702E-2</v>
      </c>
      <c r="H63" s="44">
        <v>2168</v>
      </c>
      <c r="I63" s="44"/>
      <c r="J63" s="45">
        <f t="shared" si="38"/>
        <v>2168</v>
      </c>
      <c r="K63" s="38"/>
      <c r="L63" s="38"/>
      <c r="M63" s="38"/>
      <c r="N63" s="34">
        <f>VLOOKUP(F63,'GHG Emissions Factors'!$B$2:$C$4000,2,FALSE)</f>
        <v>0</v>
      </c>
      <c r="O63" s="45">
        <f t="shared" si="18"/>
        <v>0</v>
      </c>
      <c r="P63" s="34">
        <f>IF(L63="yes", 0, _xlfn.XLOOKUP(F63, 'GHG Emissions Factors'!$B$2:$B$4000, 'GHG Emissions Factors'!$D$2:$D$4000, 0))</f>
        <v>0</v>
      </c>
      <c r="Q63" s="46"/>
      <c r="R63" s="46"/>
      <c r="S63" s="46">
        <f>ProcurementAllocationData[[#This Row],[Net MWhs Procured]]-(ProcurementAllocationData[[#This Row],[Deep Green]]+ProcurementAllocationData[[#This Row],[LocalSol]]+ProcurementAllocationData[[#This Row],[GreenAccess]])</f>
        <v>2168</v>
      </c>
      <c r="T63" s="46"/>
      <c r="U63" s="46"/>
      <c r="V63" s="46"/>
      <c r="W63" s="46"/>
      <c r="X63" s="46"/>
      <c r="Y63" s="112">
        <f t="shared" si="19"/>
        <v>95</v>
      </c>
      <c r="Z63" s="150">
        <f t="shared" si="20"/>
        <v>0</v>
      </c>
      <c r="AA63" s="150">
        <f t="shared" si="21"/>
        <v>95</v>
      </c>
      <c r="AB63" s="113">
        <f t="shared" si="22"/>
        <v>0</v>
      </c>
      <c r="AD63" s="272" t="str">
        <f t="shared" si="23"/>
        <v>Fallon Two Rock</v>
      </c>
      <c r="AE63" s="273">
        <f t="shared" si="24"/>
        <v>0</v>
      </c>
      <c r="AF63" s="273">
        <f t="shared" si="25"/>
        <v>0</v>
      </c>
      <c r="AG63" s="273">
        <f t="shared" si="26"/>
        <v>0</v>
      </c>
      <c r="AH63" s="273">
        <f t="shared" si="27"/>
        <v>0</v>
      </c>
      <c r="AI63" s="273">
        <f t="shared" si="28"/>
        <v>0</v>
      </c>
      <c r="AJ63" s="273">
        <f t="shared" si="29"/>
        <v>0</v>
      </c>
      <c r="AK63" s="273">
        <f t="shared" si="30"/>
        <v>0</v>
      </c>
      <c r="AL63" s="274">
        <f t="shared" si="31"/>
        <v>0</v>
      </c>
      <c r="AN63" s="75" t="str">
        <f t="shared" si="32"/>
        <v>-</v>
      </c>
      <c r="AO63" s="75" t="str">
        <f t="shared" si="33"/>
        <v>-</v>
      </c>
      <c r="AP63" s="48">
        <f t="shared" si="36"/>
        <v>0</v>
      </c>
      <c r="AQ63" s="48">
        <f t="shared" si="34"/>
        <v>0</v>
      </c>
      <c r="AR63" s="49">
        <f t="shared" si="35"/>
        <v>0</v>
      </c>
    </row>
    <row r="64" spans="1:44" ht="15">
      <c r="A64" s="38" t="s">
        <v>3898</v>
      </c>
      <c r="B64" s="38" t="s">
        <v>29</v>
      </c>
      <c r="C64" s="38" t="s">
        <v>3771</v>
      </c>
      <c r="D64" s="38" t="s">
        <v>3899</v>
      </c>
      <c r="E64" s="38" t="s">
        <v>3900</v>
      </c>
      <c r="F64" s="38">
        <v>57498</v>
      </c>
      <c r="G64" s="47">
        <f t="shared" si="16"/>
        <v>4.3727031303423702E-2</v>
      </c>
      <c r="H64" s="44">
        <v>3424</v>
      </c>
      <c r="I64" s="44"/>
      <c r="J64" s="45">
        <f t="shared" si="38"/>
        <v>3424</v>
      </c>
      <c r="K64" s="38"/>
      <c r="L64" s="38"/>
      <c r="M64" s="38"/>
      <c r="N64" s="34">
        <f>VLOOKUP(F64,'GHG Emissions Factors'!$B$2:$C$4000,2,FALSE)</f>
        <v>0</v>
      </c>
      <c r="O64" s="45">
        <f t="shared" si="18"/>
        <v>0</v>
      </c>
      <c r="P64" s="34">
        <f>IF(L64="yes", 0, _xlfn.XLOOKUP(F64, 'GHG Emissions Factors'!$B$2:$B$4000, 'GHG Emissions Factors'!$D$2:$D$4000, 0))</f>
        <v>0</v>
      </c>
      <c r="Q64" s="46"/>
      <c r="R64" s="46"/>
      <c r="S64" s="46">
        <f>ProcurementAllocationData[[#This Row],[Net MWhs Procured]]-(ProcurementAllocationData[[#This Row],[Deep Green]]+ProcurementAllocationData[[#This Row],[LocalSol]]+ProcurementAllocationData[[#This Row],[GreenAccess]])</f>
        <v>3424</v>
      </c>
      <c r="T64" s="46"/>
      <c r="U64" s="46"/>
      <c r="V64" s="46"/>
      <c r="W64" s="46"/>
      <c r="X64" s="46"/>
      <c r="Y64" s="112">
        <f t="shared" si="19"/>
        <v>150</v>
      </c>
      <c r="Z64" s="150">
        <f t="shared" si="20"/>
        <v>0</v>
      </c>
      <c r="AA64" s="150">
        <f t="shared" si="21"/>
        <v>150</v>
      </c>
      <c r="AB64" s="113">
        <f t="shared" si="22"/>
        <v>0</v>
      </c>
      <c r="AD64" s="272" t="str">
        <f t="shared" si="23"/>
        <v>Five Points Solar Station - Five Points Solar Station</v>
      </c>
      <c r="AE64" s="273">
        <f t="shared" si="24"/>
        <v>0</v>
      </c>
      <c r="AF64" s="273">
        <f t="shared" si="25"/>
        <v>0</v>
      </c>
      <c r="AG64" s="273">
        <f t="shared" si="26"/>
        <v>0</v>
      </c>
      <c r="AH64" s="273">
        <f t="shared" si="27"/>
        <v>0</v>
      </c>
      <c r="AI64" s="273">
        <f t="shared" si="28"/>
        <v>0</v>
      </c>
      <c r="AJ64" s="273">
        <f t="shared" si="29"/>
        <v>0</v>
      </c>
      <c r="AK64" s="273">
        <f t="shared" si="30"/>
        <v>0</v>
      </c>
      <c r="AL64" s="274">
        <f t="shared" si="31"/>
        <v>0</v>
      </c>
      <c r="AN64" s="75" t="str">
        <f t="shared" si="32"/>
        <v>-</v>
      </c>
      <c r="AO64" s="75" t="str">
        <f t="shared" si="33"/>
        <v>-</v>
      </c>
      <c r="AP64" s="48">
        <f t="shared" si="36"/>
        <v>0</v>
      </c>
      <c r="AQ64" s="48">
        <f t="shared" si="34"/>
        <v>0</v>
      </c>
      <c r="AR64" s="49">
        <f t="shared" si="35"/>
        <v>0</v>
      </c>
    </row>
    <row r="65" spans="1:44" ht="15">
      <c r="A65" s="38" t="s">
        <v>3901</v>
      </c>
      <c r="B65" s="38" t="s">
        <v>30</v>
      </c>
      <c r="C65" s="38" t="s">
        <v>3771</v>
      </c>
      <c r="D65" s="38" t="s">
        <v>3902</v>
      </c>
      <c r="E65" s="38" t="s">
        <v>3903</v>
      </c>
      <c r="F65" s="38">
        <v>57201</v>
      </c>
      <c r="G65" s="47">
        <f t="shared" si="16"/>
        <v>4.3727031303423702E-2</v>
      </c>
      <c r="H65" s="44">
        <v>21383</v>
      </c>
      <c r="I65" s="44"/>
      <c r="J65" s="45">
        <f t="shared" si="38"/>
        <v>21383</v>
      </c>
      <c r="K65" s="38"/>
      <c r="L65" s="38"/>
      <c r="M65" s="38"/>
      <c r="N65" s="34">
        <f>VLOOKUP(F65,'GHG Emissions Factors'!$B$2:$C$4000,2,FALSE)</f>
        <v>0</v>
      </c>
      <c r="O65" s="45">
        <f t="shared" si="18"/>
        <v>0</v>
      </c>
      <c r="P65" s="34">
        <f>IF(L65="yes", 0, _xlfn.XLOOKUP(F65, 'GHG Emissions Factors'!$B$2:$B$4000, 'GHG Emissions Factors'!$D$2:$D$4000, 0))</f>
        <v>0</v>
      </c>
      <c r="Q65" s="46"/>
      <c r="R65" s="46"/>
      <c r="S65" s="46">
        <f>ProcurementAllocationData[[#This Row],[Net MWhs Procured]]-(ProcurementAllocationData[[#This Row],[Deep Green]]+ProcurementAllocationData[[#This Row],[LocalSol]]+ProcurementAllocationData[[#This Row],[GreenAccess]])</f>
        <v>21383</v>
      </c>
      <c r="T65" s="46"/>
      <c r="U65" s="46"/>
      <c r="V65" s="46"/>
      <c r="W65" s="46"/>
      <c r="X65" s="46"/>
      <c r="Y65" s="112">
        <f t="shared" si="19"/>
        <v>935</v>
      </c>
      <c r="Z65" s="150">
        <f t="shared" si="20"/>
        <v>0</v>
      </c>
      <c r="AA65" s="150">
        <f t="shared" si="21"/>
        <v>935</v>
      </c>
      <c r="AB65" s="113">
        <f t="shared" si="22"/>
        <v>0</v>
      </c>
      <c r="AD65" s="272" t="str">
        <f t="shared" si="23"/>
        <v>FPL Energy Montezuma Wind - FPL Energy Montezuma Wind</v>
      </c>
      <c r="AE65" s="273">
        <f t="shared" si="24"/>
        <v>0</v>
      </c>
      <c r="AF65" s="273">
        <f t="shared" si="25"/>
        <v>0</v>
      </c>
      <c r="AG65" s="273">
        <f t="shared" si="26"/>
        <v>0</v>
      </c>
      <c r="AH65" s="273">
        <f t="shared" si="27"/>
        <v>0</v>
      </c>
      <c r="AI65" s="273">
        <f t="shared" si="28"/>
        <v>0</v>
      </c>
      <c r="AJ65" s="273">
        <f t="shared" si="29"/>
        <v>0</v>
      </c>
      <c r="AK65" s="273">
        <f t="shared" si="30"/>
        <v>0</v>
      </c>
      <c r="AL65" s="274">
        <f t="shared" si="31"/>
        <v>0</v>
      </c>
      <c r="AN65" s="75" t="str">
        <f t="shared" si="32"/>
        <v>-</v>
      </c>
      <c r="AO65" s="75" t="str">
        <f t="shared" si="33"/>
        <v>-</v>
      </c>
      <c r="AP65" s="48">
        <f t="shared" si="36"/>
        <v>0</v>
      </c>
      <c r="AQ65" s="48">
        <f t="shared" si="34"/>
        <v>0</v>
      </c>
      <c r="AR65" s="49">
        <f t="shared" si="35"/>
        <v>0</v>
      </c>
    </row>
    <row r="66" spans="1:44" ht="15">
      <c r="A66" s="38" t="s">
        <v>3904</v>
      </c>
      <c r="B66" s="38" t="s">
        <v>29</v>
      </c>
      <c r="C66" s="38" t="s">
        <v>3771</v>
      </c>
      <c r="D66" s="38" t="s">
        <v>3905</v>
      </c>
      <c r="E66" s="38" t="s">
        <v>3906</v>
      </c>
      <c r="F66" s="38" t="s">
        <v>3453</v>
      </c>
      <c r="G66" s="47">
        <f t="shared" si="16"/>
        <v>4.3727031303423702E-2</v>
      </c>
      <c r="H66" s="44">
        <v>1328</v>
      </c>
      <c r="I66" s="44"/>
      <c r="J66" s="45">
        <f t="shared" si="38"/>
        <v>1328</v>
      </c>
      <c r="K66" s="38"/>
      <c r="L66" s="38"/>
      <c r="M66" s="38"/>
      <c r="N66" s="34">
        <f>VLOOKUP(F66,'GHG Emissions Factors'!$B$2:$C$4000,2,FALSE)</f>
        <v>0</v>
      </c>
      <c r="O66" s="45">
        <f t="shared" si="18"/>
        <v>0</v>
      </c>
      <c r="P66" s="34">
        <f>IF(L66="yes", 0, _xlfn.XLOOKUP(F66, 'GHG Emissions Factors'!$B$2:$B$4000, 'GHG Emissions Factors'!$D$2:$D$4000, 0))</f>
        <v>0</v>
      </c>
      <c r="Q66" s="46"/>
      <c r="R66" s="46"/>
      <c r="S66" s="46">
        <f>ProcurementAllocationData[[#This Row],[Net MWhs Procured]]-(ProcurementAllocationData[[#This Row],[Deep Green]]+ProcurementAllocationData[[#This Row],[LocalSol]]+ProcurementAllocationData[[#This Row],[GreenAccess]])</f>
        <v>1328</v>
      </c>
      <c r="T66" s="46"/>
      <c r="U66" s="46"/>
      <c r="V66" s="46"/>
      <c r="W66" s="46"/>
      <c r="X66" s="46"/>
      <c r="Y66" s="112">
        <f t="shared" si="19"/>
        <v>58</v>
      </c>
      <c r="Z66" s="150">
        <f t="shared" si="20"/>
        <v>0</v>
      </c>
      <c r="AA66" s="150">
        <f t="shared" si="21"/>
        <v>58</v>
      </c>
      <c r="AB66" s="113">
        <f t="shared" si="22"/>
        <v>0</v>
      </c>
      <c r="AD66" s="272" t="str">
        <f t="shared" si="23"/>
        <v>Freethy Industrial Park - Freethy Industrial Park Unit #1</v>
      </c>
      <c r="AE66" s="273">
        <f t="shared" si="24"/>
        <v>0</v>
      </c>
      <c r="AF66" s="273">
        <f t="shared" si="25"/>
        <v>0</v>
      </c>
      <c r="AG66" s="273">
        <f t="shared" si="26"/>
        <v>0</v>
      </c>
      <c r="AH66" s="273">
        <f t="shared" si="27"/>
        <v>0</v>
      </c>
      <c r="AI66" s="273">
        <f t="shared" si="28"/>
        <v>0</v>
      </c>
      <c r="AJ66" s="273">
        <f t="shared" si="29"/>
        <v>0</v>
      </c>
      <c r="AK66" s="273">
        <f t="shared" si="30"/>
        <v>0</v>
      </c>
      <c r="AL66" s="274">
        <f t="shared" si="31"/>
        <v>0</v>
      </c>
      <c r="AN66" s="75" t="str">
        <f t="shared" si="32"/>
        <v>-</v>
      </c>
      <c r="AO66" s="75" t="str">
        <f t="shared" si="33"/>
        <v>-</v>
      </c>
      <c r="AP66" s="48">
        <f t="shared" si="36"/>
        <v>0</v>
      </c>
      <c r="AQ66" s="48">
        <f t="shared" si="34"/>
        <v>0</v>
      </c>
      <c r="AR66" s="49">
        <f t="shared" si="35"/>
        <v>0</v>
      </c>
    </row>
    <row r="67" spans="1:44" ht="15">
      <c r="A67" s="38" t="s">
        <v>3907</v>
      </c>
      <c r="B67" s="38" t="s">
        <v>29</v>
      </c>
      <c r="C67" s="38" t="s">
        <v>3771</v>
      </c>
      <c r="D67" s="38" t="s">
        <v>3908</v>
      </c>
      <c r="E67" s="38" t="s">
        <v>3909</v>
      </c>
      <c r="F67" s="38" t="s">
        <v>3455</v>
      </c>
      <c r="G67" s="47">
        <f t="shared" si="16"/>
        <v>4.3727031303423702E-2</v>
      </c>
      <c r="H67" s="44">
        <v>1627</v>
      </c>
      <c r="I67" s="44"/>
      <c r="J67" s="45">
        <f t="shared" si="38"/>
        <v>1627</v>
      </c>
      <c r="K67" s="38"/>
      <c r="L67" s="38"/>
      <c r="M67" s="38"/>
      <c r="N67" s="34">
        <f>VLOOKUP(F67,'GHG Emissions Factors'!$B$2:$C$4000,2,FALSE)</f>
        <v>0</v>
      </c>
      <c r="O67" s="45">
        <f t="shared" si="18"/>
        <v>0</v>
      </c>
      <c r="P67" s="34">
        <f>IF(L67="yes", 0, _xlfn.XLOOKUP(F67, 'GHG Emissions Factors'!$B$2:$B$4000, 'GHG Emissions Factors'!$D$2:$D$4000, 0))</f>
        <v>0</v>
      </c>
      <c r="Q67" s="46"/>
      <c r="R67" s="46"/>
      <c r="S67" s="46">
        <f>ProcurementAllocationData[[#This Row],[Net MWhs Procured]]-(ProcurementAllocationData[[#This Row],[Deep Green]]+ProcurementAllocationData[[#This Row],[LocalSol]]+ProcurementAllocationData[[#This Row],[GreenAccess]])</f>
        <v>1627</v>
      </c>
      <c r="T67" s="46"/>
      <c r="U67" s="46"/>
      <c r="V67" s="46"/>
      <c r="W67" s="46"/>
      <c r="X67" s="46"/>
      <c r="Y67" s="112">
        <f t="shared" si="19"/>
        <v>71</v>
      </c>
      <c r="Z67" s="150">
        <f t="shared" si="20"/>
        <v>0</v>
      </c>
      <c r="AA67" s="150">
        <f t="shared" si="21"/>
        <v>71</v>
      </c>
      <c r="AB67" s="113">
        <f t="shared" si="22"/>
        <v>0</v>
      </c>
      <c r="AD67" s="272" t="str">
        <f t="shared" si="23"/>
        <v>Freethy Industrial Park - Freethy Industrial Park Unit #2</v>
      </c>
      <c r="AE67" s="273">
        <f t="shared" si="24"/>
        <v>0</v>
      </c>
      <c r="AF67" s="273">
        <f t="shared" si="25"/>
        <v>0</v>
      </c>
      <c r="AG67" s="273">
        <f t="shared" si="26"/>
        <v>0</v>
      </c>
      <c r="AH67" s="273">
        <f t="shared" si="27"/>
        <v>0</v>
      </c>
      <c r="AI67" s="273">
        <f t="shared" si="28"/>
        <v>0</v>
      </c>
      <c r="AJ67" s="273">
        <f t="shared" si="29"/>
        <v>0</v>
      </c>
      <c r="AK67" s="273">
        <f t="shared" si="30"/>
        <v>0</v>
      </c>
      <c r="AL67" s="274">
        <f t="shared" si="31"/>
        <v>0</v>
      </c>
      <c r="AN67" s="75" t="str">
        <f t="shared" si="32"/>
        <v>-</v>
      </c>
      <c r="AO67" s="75" t="str">
        <f t="shared" si="33"/>
        <v>-</v>
      </c>
      <c r="AP67" s="48">
        <f t="shared" si="36"/>
        <v>0</v>
      </c>
      <c r="AQ67" s="48">
        <f t="shared" si="34"/>
        <v>0</v>
      </c>
      <c r="AR67" s="49">
        <f t="shared" si="35"/>
        <v>0</v>
      </c>
    </row>
    <row r="68" spans="1:44" ht="15">
      <c r="A68" s="38" t="s">
        <v>3910</v>
      </c>
      <c r="B68" s="38" t="s">
        <v>26</v>
      </c>
      <c r="C68" s="38" t="s">
        <v>3771</v>
      </c>
      <c r="D68" s="38" t="s">
        <v>3911</v>
      </c>
      <c r="E68" s="38" t="s">
        <v>3912</v>
      </c>
      <c r="F68" s="38">
        <v>58320</v>
      </c>
      <c r="G68" s="47">
        <f t="shared" si="16"/>
        <v>4.3727031303423702E-2</v>
      </c>
      <c r="H68" s="44">
        <v>12308</v>
      </c>
      <c r="I68" s="44">
        <v>3027</v>
      </c>
      <c r="J68" s="45">
        <f t="shared" si="38"/>
        <v>9281</v>
      </c>
      <c r="K68" s="38"/>
      <c r="L68" s="38"/>
      <c r="M68" s="38"/>
      <c r="N68" s="34">
        <f>VLOOKUP(F68,'GHG Emissions Factors'!$B$2:$C$4000,2,FALSE)</f>
        <v>0.55649999999999999</v>
      </c>
      <c r="O68" s="45">
        <f t="shared" si="18"/>
        <v>5164.8765000000003</v>
      </c>
      <c r="P68" s="34">
        <f>IF(L68="yes", 0, _xlfn.XLOOKUP(F68, 'GHG Emissions Factors'!$B$2:$B$4000, 'GHG Emissions Factors'!$D$2:$D$4000, 0))</f>
        <v>2.8E-3</v>
      </c>
      <c r="Q68" s="46"/>
      <c r="R68" s="46"/>
      <c r="S68" s="46">
        <f>ProcurementAllocationData[[#This Row],[Net MWhs Procured]]-(ProcurementAllocationData[[#This Row],[Deep Green]]+ProcurementAllocationData[[#This Row],[LocalSol]]+ProcurementAllocationData[[#This Row],[GreenAccess]])</f>
        <v>9281</v>
      </c>
      <c r="T68" s="46"/>
      <c r="U68" s="46"/>
      <c r="V68" s="46"/>
      <c r="W68" s="46"/>
      <c r="X68" s="46"/>
      <c r="Y68" s="112">
        <f t="shared" si="19"/>
        <v>406</v>
      </c>
      <c r="Z68" s="150">
        <f t="shared" si="20"/>
        <v>0</v>
      </c>
      <c r="AA68" s="150">
        <f t="shared" si="21"/>
        <v>406</v>
      </c>
      <c r="AB68" s="113">
        <f t="shared" si="22"/>
        <v>0</v>
      </c>
      <c r="AD68" s="272" t="str">
        <f t="shared" si="23"/>
        <v>G2 Energy Hay Road - G2 Hay Road</v>
      </c>
      <c r="AE68" s="273">
        <f t="shared" si="24"/>
        <v>0</v>
      </c>
      <c r="AF68" s="273">
        <f t="shared" si="25"/>
        <v>0</v>
      </c>
      <c r="AG68" s="273">
        <f t="shared" si="26"/>
        <v>25.986799999999999</v>
      </c>
      <c r="AH68" s="273">
        <f t="shared" si="27"/>
        <v>0</v>
      </c>
      <c r="AI68" s="273">
        <f t="shared" si="28"/>
        <v>0</v>
      </c>
      <c r="AJ68" s="273">
        <f t="shared" si="29"/>
        <v>0</v>
      </c>
      <c r="AK68" s="273">
        <f t="shared" si="30"/>
        <v>0</v>
      </c>
      <c r="AL68" s="274">
        <f t="shared" si="31"/>
        <v>0</v>
      </c>
      <c r="AN68" s="75" t="str">
        <f t="shared" si="32"/>
        <v>-</v>
      </c>
      <c r="AO68" s="75" t="str">
        <f t="shared" si="33"/>
        <v>-</v>
      </c>
      <c r="AP68" s="48">
        <f t="shared" si="36"/>
        <v>0</v>
      </c>
      <c r="AQ68" s="48">
        <f t="shared" si="34"/>
        <v>0</v>
      </c>
      <c r="AR68" s="49">
        <f t="shared" si="35"/>
        <v>0</v>
      </c>
    </row>
    <row r="69" spans="1:44" ht="15">
      <c r="A69" s="38" t="s">
        <v>3913</v>
      </c>
      <c r="B69" s="38" t="s">
        <v>26</v>
      </c>
      <c r="C69" s="38" t="s">
        <v>3771</v>
      </c>
      <c r="D69" s="38" t="s">
        <v>3914</v>
      </c>
      <c r="E69" s="38" t="s">
        <v>3915</v>
      </c>
      <c r="F69" s="38">
        <v>57133</v>
      </c>
      <c r="G69" s="47">
        <f t="shared" si="16"/>
        <v>4.3727031303423702E-2</v>
      </c>
      <c r="H69" s="44">
        <v>14856</v>
      </c>
      <c r="I69" s="44">
        <v>3234</v>
      </c>
      <c r="J69" s="45">
        <f t="shared" si="38"/>
        <v>11622</v>
      </c>
      <c r="K69" s="38"/>
      <c r="L69" s="38"/>
      <c r="M69" s="38"/>
      <c r="N69" s="34">
        <f>VLOOKUP(F69,'GHG Emissions Factors'!$B$2:$C$4000,2,FALSE)</f>
        <v>0.56310000000000004</v>
      </c>
      <c r="O69" s="45">
        <f t="shared" si="18"/>
        <v>6544.3482000000004</v>
      </c>
      <c r="P69" s="34">
        <f>IF(L69="yes", 0, _xlfn.XLOOKUP(F69, 'GHG Emissions Factors'!$B$2:$B$4000, 'GHG Emissions Factors'!$D$2:$D$4000, 0))</f>
        <v>2.8999999999999998E-3</v>
      </c>
      <c r="Q69" s="46"/>
      <c r="R69" s="46"/>
      <c r="S69" s="46">
        <f>ProcurementAllocationData[[#This Row],[Net MWhs Procured]]-(ProcurementAllocationData[[#This Row],[Deep Green]]+ProcurementAllocationData[[#This Row],[LocalSol]]+ProcurementAllocationData[[#This Row],[GreenAccess]])</f>
        <v>11622</v>
      </c>
      <c r="T69" s="46"/>
      <c r="U69" s="46"/>
      <c r="V69" s="46"/>
      <c r="W69" s="46"/>
      <c r="X69" s="46"/>
      <c r="Y69" s="112">
        <f t="shared" si="19"/>
        <v>508</v>
      </c>
      <c r="Z69" s="150">
        <f t="shared" si="20"/>
        <v>0</v>
      </c>
      <c r="AA69" s="150">
        <f t="shared" si="21"/>
        <v>508</v>
      </c>
      <c r="AB69" s="113">
        <f t="shared" si="22"/>
        <v>0</v>
      </c>
      <c r="AD69" s="272" t="str">
        <f t="shared" si="23"/>
        <v>G2 Energy Ostrom Rd - G2 Energy Ostrom RD</v>
      </c>
      <c r="AE69" s="273">
        <f t="shared" si="24"/>
        <v>0</v>
      </c>
      <c r="AF69" s="273">
        <f t="shared" si="25"/>
        <v>0</v>
      </c>
      <c r="AG69" s="273">
        <f t="shared" si="26"/>
        <v>33.703800000000001</v>
      </c>
      <c r="AH69" s="273">
        <f t="shared" si="27"/>
        <v>0</v>
      </c>
      <c r="AI69" s="273">
        <f t="shared" si="28"/>
        <v>0</v>
      </c>
      <c r="AJ69" s="273">
        <f t="shared" si="29"/>
        <v>0</v>
      </c>
      <c r="AK69" s="273">
        <f t="shared" si="30"/>
        <v>0</v>
      </c>
      <c r="AL69" s="274">
        <f t="shared" si="31"/>
        <v>0</v>
      </c>
      <c r="AN69" s="75" t="str">
        <f t="shared" si="32"/>
        <v>-</v>
      </c>
      <c r="AO69" s="75" t="str">
        <f t="shared" si="33"/>
        <v>-</v>
      </c>
      <c r="AP69" s="48">
        <f t="shared" si="36"/>
        <v>0</v>
      </c>
      <c r="AQ69" s="48">
        <f t="shared" si="34"/>
        <v>0</v>
      </c>
      <c r="AR69" s="49">
        <f t="shared" si="35"/>
        <v>0</v>
      </c>
    </row>
    <row r="70" spans="1:44" ht="15">
      <c r="A70" s="38" t="s">
        <v>3916</v>
      </c>
      <c r="B70" s="38" t="s">
        <v>26</v>
      </c>
      <c r="C70" s="38" t="s">
        <v>3771</v>
      </c>
      <c r="D70" s="38" t="s">
        <v>3917</v>
      </c>
      <c r="E70" s="38" t="s">
        <v>3915</v>
      </c>
      <c r="F70" s="38">
        <v>57133</v>
      </c>
      <c r="G70" s="47">
        <f t="shared" si="16"/>
        <v>4.3727031303423702E-2</v>
      </c>
      <c r="H70" s="44">
        <v>12159</v>
      </c>
      <c r="I70" s="44">
        <v>2647</v>
      </c>
      <c r="J70" s="45">
        <f t="shared" si="38"/>
        <v>9512</v>
      </c>
      <c r="K70" s="38"/>
      <c r="L70" s="38"/>
      <c r="M70" s="38"/>
      <c r="N70" s="34">
        <f>VLOOKUP(F70,'GHG Emissions Factors'!$B$2:$C$4000,2,FALSE)</f>
        <v>0.56310000000000004</v>
      </c>
      <c r="O70" s="45">
        <f t="shared" si="18"/>
        <v>5356.2072000000007</v>
      </c>
      <c r="P70" s="34">
        <f>IF(L70="yes", 0, _xlfn.XLOOKUP(F70, 'GHG Emissions Factors'!$B$2:$B$4000, 'GHG Emissions Factors'!$D$2:$D$4000, 0))</f>
        <v>2.8999999999999998E-3</v>
      </c>
      <c r="Q70" s="46"/>
      <c r="R70" s="46"/>
      <c r="S70" s="46">
        <f>ProcurementAllocationData[[#This Row],[Net MWhs Procured]]-(ProcurementAllocationData[[#This Row],[Deep Green]]+ProcurementAllocationData[[#This Row],[LocalSol]]+ProcurementAllocationData[[#This Row],[GreenAccess]])</f>
        <v>9512</v>
      </c>
      <c r="T70" s="46"/>
      <c r="U70" s="46"/>
      <c r="V70" s="46"/>
      <c r="W70" s="46"/>
      <c r="X70" s="46"/>
      <c r="Y70" s="112">
        <f t="shared" si="19"/>
        <v>416</v>
      </c>
      <c r="Z70" s="150">
        <f t="shared" si="20"/>
        <v>0</v>
      </c>
      <c r="AA70" s="150">
        <f t="shared" si="21"/>
        <v>416</v>
      </c>
      <c r="AB70" s="113">
        <f t="shared" si="22"/>
        <v>0</v>
      </c>
      <c r="AD70" s="272" t="str">
        <f t="shared" si="23"/>
        <v>G2 Energy Ostrom Rd - G2 Energy Ostrom Rd. Unit 2</v>
      </c>
      <c r="AE70" s="273">
        <f t="shared" si="24"/>
        <v>0</v>
      </c>
      <c r="AF70" s="273">
        <f t="shared" si="25"/>
        <v>0</v>
      </c>
      <c r="AG70" s="273">
        <f t="shared" si="26"/>
        <v>27.584799999999998</v>
      </c>
      <c r="AH70" s="273">
        <f t="shared" si="27"/>
        <v>0</v>
      </c>
      <c r="AI70" s="273">
        <f t="shared" si="28"/>
        <v>0</v>
      </c>
      <c r="AJ70" s="273">
        <f t="shared" si="29"/>
        <v>0</v>
      </c>
      <c r="AK70" s="273">
        <f t="shared" si="30"/>
        <v>0</v>
      </c>
      <c r="AL70" s="274">
        <f t="shared" si="31"/>
        <v>0</v>
      </c>
      <c r="AN70" s="75" t="str">
        <f t="shared" si="32"/>
        <v>-</v>
      </c>
      <c r="AO70" s="75" t="str">
        <f t="shared" si="33"/>
        <v>-</v>
      </c>
      <c r="AP70" s="48">
        <f t="shared" si="36"/>
        <v>0</v>
      </c>
      <c r="AQ70" s="48">
        <f t="shared" si="34"/>
        <v>0</v>
      </c>
      <c r="AR70" s="49">
        <f t="shared" si="35"/>
        <v>0</v>
      </c>
    </row>
    <row r="71" spans="1:44" ht="15">
      <c r="A71" s="38" t="s">
        <v>3918</v>
      </c>
      <c r="B71" s="38" t="s">
        <v>29</v>
      </c>
      <c r="C71" s="38" t="s">
        <v>3771</v>
      </c>
      <c r="D71" s="38" t="s">
        <v>3919</v>
      </c>
      <c r="E71" s="38" t="s">
        <v>3920</v>
      </c>
      <c r="F71" s="38">
        <v>57394</v>
      </c>
      <c r="G71" s="47">
        <f t="shared" si="16"/>
        <v>4.3727031303423702E-2</v>
      </c>
      <c r="H71" s="44">
        <v>25184</v>
      </c>
      <c r="I71" s="44"/>
      <c r="J71" s="45">
        <f t="shared" si="38"/>
        <v>25184</v>
      </c>
      <c r="K71" s="38"/>
      <c r="L71" s="38"/>
      <c r="M71" s="38"/>
      <c r="N71" s="34">
        <f>VLOOKUP(F71,'GHG Emissions Factors'!$B$2:$C$4000,2,FALSE)</f>
        <v>0</v>
      </c>
      <c r="O71" s="45">
        <f t="shared" si="18"/>
        <v>0</v>
      </c>
      <c r="P71" s="34">
        <f>IF(L71="yes", 0, _xlfn.XLOOKUP(F71, 'GHG Emissions Factors'!$B$2:$B$4000, 'GHG Emissions Factors'!$D$2:$D$4000, 0))</f>
        <v>0</v>
      </c>
      <c r="Q71" s="46"/>
      <c r="R71" s="46"/>
      <c r="S71" s="46">
        <f>ProcurementAllocationData[[#This Row],[Net MWhs Procured]]-(ProcurementAllocationData[[#This Row],[Deep Green]]+ProcurementAllocationData[[#This Row],[LocalSol]]+ProcurementAllocationData[[#This Row],[GreenAccess]])</f>
        <v>25184</v>
      </c>
      <c r="T71" s="46"/>
      <c r="U71" s="46"/>
      <c r="V71" s="46"/>
      <c r="W71" s="46"/>
      <c r="X71" s="46"/>
      <c r="Y71" s="112">
        <f t="shared" si="19"/>
        <v>1101</v>
      </c>
      <c r="Z71" s="150">
        <f t="shared" si="20"/>
        <v>0</v>
      </c>
      <c r="AA71" s="150">
        <f t="shared" si="21"/>
        <v>1101</v>
      </c>
      <c r="AB71" s="113">
        <f t="shared" si="22"/>
        <v>0</v>
      </c>
      <c r="AD71" s="272" t="str">
        <f t="shared" si="23"/>
        <v>GENESIS SOLAR, LLC - SGN-1</v>
      </c>
      <c r="AE71" s="273">
        <f t="shared" si="24"/>
        <v>0</v>
      </c>
      <c r="AF71" s="273">
        <f t="shared" si="25"/>
        <v>0</v>
      </c>
      <c r="AG71" s="273">
        <f t="shared" si="26"/>
        <v>0</v>
      </c>
      <c r="AH71" s="273">
        <f t="shared" si="27"/>
        <v>0</v>
      </c>
      <c r="AI71" s="273">
        <f t="shared" si="28"/>
        <v>0</v>
      </c>
      <c r="AJ71" s="273">
        <f t="shared" si="29"/>
        <v>0</v>
      </c>
      <c r="AK71" s="273">
        <f t="shared" si="30"/>
        <v>0</v>
      </c>
      <c r="AL71" s="274">
        <f t="shared" si="31"/>
        <v>0</v>
      </c>
      <c r="AN71" s="75" t="str">
        <f t="shared" si="32"/>
        <v>-</v>
      </c>
      <c r="AO71" s="75" t="str">
        <f t="shared" si="33"/>
        <v>-</v>
      </c>
      <c r="AP71" s="48">
        <f t="shared" si="36"/>
        <v>0</v>
      </c>
      <c r="AQ71" s="48">
        <f t="shared" si="34"/>
        <v>0</v>
      </c>
      <c r="AR71" s="49">
        <f t="shared" si="35"/>
        <v>0</v>
      </c>
    </row>
    <row r="72" spans="1:44" ht="15">
      <c r="A72" s="38" t="s">
        <v>3921</v>
      </c>
      <c r="B72" s="38" t="s">
        <v>27</v>
      </c>
      <c r="C72" s="38" t="s">
        <v>3771</v>
      </c>
      <c r="D72" s="38" t="s">
        <v>3922</v>
      </c>
      <c r="E72" s="38" t="s">
        <v>3923</v>
      </c>
      <c r="F72" s="38">
        <v>286</v>
      </c>
      <c r="G72" s="47">
        <f t="shared" si="16"/>
        <v>4.3727031303423702E-2</v>
      </c>
      <c r="H72" s="44">
        <v>20496</v>
      </c>
      <c r="I72" s="44"/>
      <c r="J72" s="45">
        <f t="shared" si="38"/>
        <v>20496</v>
      </c>
      <c r="K72" s="38"/>
      <c r="L72" s="38"/>
      <c r="M72" s="38"/>
      <c r="N72" s="34">
        <f>VLOOKUP(F72,'GHG Emissions Factors'!$B$2:$C$4000,2,FALSE)</f>
        <v>2.5700000000000001E-2</v>
      </c>
      <c r="O72" s="45">
        <f t="shared" si="18"/>
        <v>526.74720000000002</v>
      </c>
      <c r="P72" s="34">
        <f>IF(L72="yes", 0, _xlfn.XLOOKUP(F72, 'GHG Emissions Factors'!$B$2:$B$4000, 'GHG Emissions Factors'!$D$2:$D$4000, 0))</f>
        <v>0</v>
      </c>
      <c r="Q72" s="46"/>
      <c r="R72" s="46"/>
      <c r="S72" s="46">
        <f>ProcurementAllocationData[[#This Row],[Net MWhs Procured]]-(ProcurementAllocationData[[#This Row],[Deep Green]]+ProcurementAllocationData[[#This Row],[LocalSol]]+ProcurementAllocationData[[#This Row],[GreenAccess]])</f>
        <v>20496</v>
      </c>
      <c r="T72" s="46"/>
      <c r="U72" s="46"/>
      <c r="V72" s="46"/>
      <c r="W72" s="46"/>
      <c r="X72" s="46"/>
      <c r="Y72" s="112">
        <f t="shared" si="19"/>
        <v>896</v>
      </c>
      <c r="Z72" s="150">
        <f t="shared" si="20"/>
        <v>0</v>
      </c>
      <c r="AA72" s="150">
        <f t="shared" si="21"/>
        <v>896</v>
      </c>
      <c r="AB72" s="113">
        <f t="shared" si="22"/>
        <v>0</v>
      </c>
      <c r="AD72" s="272" t="str">
        <f t="shared" si="23"/>
        <v>Geysers Power Plant - Calpine Geothermal Unit 11</v>
      </c>
      <c r="AE72" s="273">
        <f t="shared" si="24"/>
        <v>0</v>
      </c>
      <c r="AF72" s="273">
        <f t="shared" si="25"/>
        <v>0</v>
      </c>
      <c r="AG72" s="273">
        <f t="shared" si="26"/>
        <v>0</v>
      </c>
      <c r="AH72" s="273">
        <f t="shared" si="27"/>
        <v>0</v>
      </c>
      <c r="AI72" s="273">
        <f t="shared" si="28"/>
        <v>0</v>
      </c>
      <c r="AJ72" s="273">
        <f t="shared" si="29"/>
        <v>0</v>
      </c>
      <c r="AK72" s="273">
        <f t="shared" si="30"/>
        <v>0</v>
      </c>
      <c r="AL72" s="274">
        <f t="shared" si="31"/>
        <v>0</v>
      </c>
      <c r="AN72" s="75" t="str">
        <f t="shared" si="32"/>
        <v>-</v>
      </c>
      <c r="AO72" s="75" t="str">
        <f t="shared" si="33"/>
        <v>-</v>
      </c>
      <c r="AP72" s="48">
        <f t="shared" si="36"/>
        <v>0</v>
      </c>
      <c r="AQ72" s="48">
        <f t="shared" si="34"/>
        <v>0</v>
      </c>
      <c r="AR72" s="49">
        <f t="shared" si="35"/>
        <v>0</v>
      </c>
    </row>
    <row r="73" spans="1:44" ht="15">
      <c r="A73" s="38" t="s">
        <v>3924</v>
      </c>
      <c r="B73" s="38" t="s">
        <v>27</v>
      </c>
      <c r="C73" s="38" t="s">
        <v>3771</v>
      </c>
      <c r="D73" s="38" t="s">
        <v>3925</v>
      </c>
      <c r="E73" s="38" t="s">
        <v>3926</v>
      </c>
      <c r="F73" s="38">
        <v>286</v>
      </c>
      <c r="G73" s="47">
        <f t="shared" si="16"/>
        <v>4.3727031303423702E-2</v>
      </c>
      <c r="H73" s="44">
        <v>6720</v>
      </c>
      <c r="I73" s="44"/>
      <c r="J73" s="45">
        <f t="shared" si="38"/>
        <v>6720</v>
      </c>
      <c r="K73" s="38"/>
      <c r="L73" s="38"/>
      <c r="M73" s="38"/>
      <c r="N73" s="34">
        <f>VLOOKUP(F73,'GHG Emissions Factors'!$B$2:$C$4000,2,FALSE)</f>
        <v>2.5700000000000001E-2</v>
      </c>
      <c r="O73" s="45">
        <f t="shared" si="18"/>
        <v>172.70400000000001</v>
      </c>
      <c r="P73" s="34">
        <f>IF(L73="yes", 0, _xlfn.XLOOKUP(F73, 'GHG Emissions Factors'!$B$2:$B$4000, 'GHG Emissions Factors'!$D$2:$D$4000, 0))</f>
        <v>0</v>
      </c>
      <c r="Q73" s="46"/>
      <c r="R73" s="46"/>
      <c r="S73" s="46">
        <f>ProcurementAllocationData[[#This Row],[Net MWhs Procured]]-(ProcurementAllocationData[[#This Row],[Deep Green]]+ProcurementAllocationData[[#This Row],[LocalSol]]+ProcurementAllocationData[[#This Row],[GreenAccess]])</f>
        <v>6720</v>
      </c>
      <c r="T73" s="46"/>
      <c r="U73" s="46"/>
      <c r="V73" s="46"/>
      <c r="W73" s="46"/>
      <c r="X73" s="46"/>
      <c r="Y73" s="112">
        <f t="shared" si="19"/>
        <v>294</v>
      </c>
      <c r="Z73" s="150">
        <f t="shared" si="20"/>
        <v>0</v>
      </c>
      <c r="AA73" s="150">
        <f t="shared" si="21"/>
        <v>294</v>
      </c>
      <c r="AB73" s="113">
        <f t="shared" si="22"/>
        <v>0</v>
      </c>
      <c r="AD73" s="272" t="str">
        <f t="shared" si="23"/>
        <v>Geysers Power Plant - Calpine Geothermal Unit 12</v>
      </c>
      <c r="AE73" s="273">
        <f t="shared" si="24"/>
        <v>0</v>
      </c>
      <c r="AF73" s="273">
        <f t="shared" si="25"/>
        <v>0</v>
      </c>
      <c r="AG73" s="273">
        <f t="shared" si="26"/>
        <v>0</v>
      </c>
      <c r="AH73" s="273">
        <f t="shared" si="27"/>
        <v>0</v>
      </c>
      <c r="AI73" s="273">
        <f t="shared" si="28"/>
        <v>0</v>
      </c>
      <c r="AJ73" s="273">
        <f t="shared" si="29"/>
        <v>0</v>
      </c>
      <c r="AK73" s="273">
        <f t="shared" si="30"/>
        <v>0</v>
      </c>
      <c r="AL73" s="274">
        <f t="shared" si="31"/>
        <v>0</v>
      </c>
      <c r="AN73" s="75" t="str">
        <f t="shared" si="32"/>
        <v>-</v>
      </c>
      <c r="AO73" s="75" t="str">
        <f t="shared" si="33"/>
        <v>-</v>
      </c>
      <c r="AP73" s="48">
        <f t="shared" si="36"/>
        <v>0</v>
      </c>
      <c r="AQ73" s="48">
        <f t="shared" si="34"/>
        <v>0</v>
      </c>
      <c r="AR73" s="49">
        <f t="shared" si="35"/>
        <v>0</v>
      </c>
    </row>
    <row r="74" spans="1:44" ht="15">
      <c r="A74" s="38" t="s">
        <v>3927</v>
      </c>
      <c r="B74" s="38" t="s">
        <v>27</v>
      </c>
      <c r="C74" s="38" t="s">
        <v>3771</v>
      </c>
      <c r="D74" s="38" t="s">
        <v>3928</v>
      </c>
      <c r="E74" s="38" t="s">
        <v>3929</v>
      </c>
      <c r="F74" s="38">
        <v>286</v>
      </c>
      <c r="G74" s="47">
        <f t="shared" si="16"/>
        <v>4.3727031303423702E-2</v>
      </c>
      <c r="H74" s="44">
        <v>51590</v>
      </c>
      <c r="I74" s="44"/>
      <c r="J74" s="45">
        <f t="shared" si="38"/>
        <v>51590</v>
      </c>
      <c r="K74" s="38"/>
      <c r="L74" s="38"/>
      <c r="M74" s="38"/>
      <c r="N74" s="34">
        <f>VLOOKUP(F74,'GHG Emissions Factors'!$B$2:$C$4000,2,FALSE)</f>
        <v>2.5700000000000001E-2</v>
      </c>
      <c r="O74" s="45">
        <f t="shared" si="18"/>
        <v>1325.8630000000001</v>
      </c>
      <c r="P74" s="34">
        <f>IF(L74="yes", 0, _xlfn.XLOOKUP(F74, 'GHG Emissions Factors'!$B$2:$B$4000, 'GHG Emissions Factors'!$D$2:$D$4000, 0))</f>
        <v>0</v>
      </c>
      <c r="Q74" s="46"/>
      <c r="R74" s="46"/>
      <c r="S74" s="46">
        <f>ProcurementAllocationData[[#This Row],[Net MWhs Procured]]-(ProcurementAllocationData[[#This Row],[Deep Green]]+ProcurementAllocationData[[#This Row],[LocalSol]]+ProcurementAllocationData[[#This Row],[GreenAccess]])</f>
        <v>51590</v>
      </c>
      <c r="T74" s="46"/>
      <c r="U74" s="46"/>
      <c r="V74" s="46"/>
      <c r="W74" s="46"/>
      <c r="X74" s="46"/>
      <c r="Y74" s="112">
        <f t="shared" si="19"/>
        <v>2256</v>
      </c>
      <c r="Z74" s="150">
        <f t="shared" si="20"/>
        <v>0</v>
      </c>
      <c r="AA74" s="150">
        <f t="shared" si="21"/>
        <v>2256</v>
      </c>
      <c r="AB74" s="113">
        <f t="shared" si="22"/>
        <v>0</v>
      </c>
      <c r="AD74" s="272" t="str">
        <f t="shared" si="23"/>
        <v>Geysers Power Plant - Calpine Geothermal Unit 13</v>
      </c>
      <c r="AE74" s="273">
        <f t="shared" si="24"/>
        <v>0</v>
      </c>
      <c r="AF74" s="273">
        <f t="shared" si="25"/>
        <v>0</v>
      </c>
      <c r="AG74" s="273">
        <f t="shared" si="26"/>
        <v>0</v>
      </c>
      <c r="AH74" s="273">
        <f t="shared" si="27"/>
        <v>0</v>
      </c>
      <c r="AI74" s="273">
        <f t="shared" si="28"/>
        <v>0</v>
      </c>
      <c r="AJ74" s="273">
        <f t="shared" si="29"/>
        <v>0</v>
      </c>
      <c r="AK74" s="273">
        <f t="shared" si="30"/>
        <v>0</v>
      </c>
      <c r="AL74" s="274">
        <f t="shared" si="31"/>
        <v>0</v>
      </c>
      <c r="AN74" s="75" t="str">
        <f t="shared" si="32"/>
        <v>-</v>
      </c>
      <c r="AO74" s="75" t="str">
        <f t="shared" si="33"/>
        <v>-</v>
      </c>
      <c r="AP74" s="48">
        <f t="shared" si="36"/>
        <v>0</v>
      </c>
      <c r="AQ74" s="48">
        <f t="shared" si="34"/>
        <v>0</v>
      </c>
      <c r="AR74" s="49">
        <f t="shared" si="35"/>
        <v>0</v>
      </c>
    </row>
    <row r="75" spans="1:44" ht="15">
      <c r="A75" s="38" t="s">
        <v>3930</v>
      </c>
      <c r="B75" s="38" t="s">
        <v>27</v>
      </c>
      <c r="C75" s="38" t="s">
        <v>3771</v>
      </c>
      <c r="D75" s="38" t="s">
        <v>3931</v>
      </c>
      <c r="E75" s="38" t="s">
        <v>3932</v>
      </c>
      <c r="F75" s="38">
        <v>286</v>
      </c>
      <c r="G75" s="47">
        <f t="shared" si="16"/>
        <v>4.3727031303423702E-2</v>
      </c>
      <c r="H75" s="44">
        <v>44753</v>
      </c>
      <c r="I75" s="44">
        <v>14294</v>
      </c>
      <c r="J75" s="45">
        <f t="shared" si="38"/>
        <v>30459</v>
      </c>
      <c r="K75" s="38"/>
      <c r="L75" s="38"/>
      <c r="M75" s="38"/>
      <c r="N75" s="34">
        <f>VLOOKUP(F75,'GHG Emissions Factors'!$B$2:$C$4000,2,FALSE)</f>
        <v>2.5700000000000001E-2</v>
      </c>
      <c r="O75" s="45">
        <f t="shared" si="18"/>
        <v>782.79629999999997</v>
      </c>
      <c r="P75" s="34">
        <f>IF(L75="yes", 0, _xlfn.XLOOKUP(F75, 'GHG Emissions Factors'!$B$2:$B$4000, 'GHG Emissions Factors'!$D$2:$D$4000, 0))</f>
        <v>0</v>
      </c>
      <c r="Q75" s="46"/>
      <c r="R75" s="46"/>
      <c r="S75" s="46">
        <f>ProcurementAllocationData[[#This Row],[Net MWhs Procured]]-(ProcurementAllocationData[[#This Row],[Deep Green]]+ProcurementAllocationData[[#This Row],[LocalSol]]+ProcurementAllocationData[[#This Row],[GreenAccess]])</f>
        <v>30459</v>
      </c>
      <c r="T75" s="46"/>
      <c r="U75" s="46"/>
      <c r="V75" s="46"/>
      <c r="W75" s="46"/>
      <c r="X75" s="46"/>
      <c r="Y75" s="112">
        <f t="shared" si="19"/>
        <v>1332</v>
      </c>
      <c r="Z75" s="150">
        <f t="shared" si="20"/>
        <v>0</v>
      </c>
      <c r="AA75" s="150">
        <f t="shared" si="21"/>
        <v>1332</v>
      </c>
      <c r="AB75" s="113">
        <f t="shared" si="22"/>
        <v>0</v>
      </c>
      <c r="AD75" s="272" t="str">
        <f t="shared" si="23"/>
        <v>Geysers Power Plant - Calpine Geothermal Unit 14</v>
      </c>
      <c r="AE75" s="273">
        <f t="shared" si="24"/>
        <v>0</v>
      </c>
      <c r="AF75" s="273">
        <f t="shared" si="25"/>
        <v>0</v>
      </c>
      <c r="AG75" s="273">
        <f t="shared" si="26"/>
        <v>0</v>
      </c>
      <c r="AH75" s="273">
        <f t="shared" si="27"/>
        <v>0</v>
      </c>
      <c r="AI75" s="273">
        <f t="shared" si="28"/>
        <v>0</v>
      </c>
      <c r="AJ75" s="273">
        <f t="shared" si="29"/>
        <v>0</v>
      </c>
      <c r="AK75" s="273">
        <f t="shared" si="30"/>
        <v>0</v>
      </c>
      <c r="AL75" s="274">
        <f t="shared" si="31"/>
        <v>0</v>
      </c>
      <c r="AN75" s="75" t="str">
        <f t="shared" si="32"/>
        <v>-</v>
      </c>
      <c r="AO75" s="75" t="str">
        <f t="shared" si="33"/>
        <v>-</v>
      </c>
      <c r="AP75" s="48">
        <f t="shared" si="36"/>
        <v>0</v>
      </c>
      <c r="AQ75" s="48">
        <f t="shared" si="34"/>
        <v>0</v>
      </c>
      <c r="AR75" s="49">
        <f t="shared" si="35"/>
        <v>0</v>
      </c>
    </row>
    <row r="76" spans="1:44" ht="15">
      <c r="A76" s="38" t="s">
        <v>3933</v>
      </c>
      <c r="B76" s="38" t="s">
        <v>30</v>
      </c>
      <c r="C76" s="38" t="s">
        <v>3934</v>
      </c>
      <c r="D76" s="38" t="s">
        <v>3935</v>
      </c>
      <c r="E76" s="38" t="s">
        <v>3936</v>
      </c>
      <c r="F76" s="38">
        <v>57049</v>
      </c>
      <c r="G76" s="47">
        <f t="shared" si="16"/>
        <v>6.5978850116714893E-2</v>
      </c>
      <c r="H76" s="44">
        <v>45630</v>
      </c>
      <c r="I76" s="44"/>
      <c r="J76" s="45">
        <f t="shared" si="38"/>
        <v>45630</v>
      </c>
      <c r="K76" s="38"/>
      <c r="L76" s="38"/>
      <c r="M76" s="38"/>
      <c r="N76" s="34">
        <f>VLOOKUP(F76,'GHG Emissions Factors'!$B$2:$C$4000,2,FALSE)</f>
        <v>0</v>
      </c>
      <c r="O76" s="45">
        <f t="shared" si="18"/>
        <v>0</v>
      </c>
      <c r="P76" s="34">
        <f>IF(L76="yes", 0, _xlfn.XLOOKUP(F76, 'GHG Emissions Factors'!$B$2:$B$4000, 'GHG Emissions Factors'!$D$2:$D$4000, 0))</f>
        <v>0</v>
      </c>
      <c r="Q76" s="46"/>
      <c r="R76" s="46"/>
      <c r="S76" s="46">
        <f>ProcurementAllocationData[[#This Row],[Net MWhs Procured]]-(ProcurementAllocationData[[#This Row],[Deep Green]]+ProcurementAllocationData[[#This Row],[LocalSol]]+ProcurementAllocationData[[#This Row],[GreenAccess]])</f>
        <v>45630</v>
      </c>
      <c r="T76" s="46"/>
      <c r="U76" s="46"/>
      <c r="V76" s="46"/>
      <c r="W76" s="46"/>
      <c r="X76" s="46"/>
      <c r="Y76" s="112">
        <f t="shared" si="19"/>
        <v>3011</v>
      </c>
      <c r="Z76" s="150">
        <f t="shared" si="20"/>
        <v>0</v>
      </c>
      <c r="AA76" s="150">
        <f t="shared" si="21"/>
        <v>3011</v>
      </c>
      <c r="AB76" s="113">
        <f t="shared" si="22"/>
        <v>0</v>
      </c>
      <c r="AD76" s="272" t="str">
        <f t="shared" si="23"/>
        <v>Glacier Wind 1 - Glacier Wind 1</v>
      </c>
      <c r="AE76" s="273">
        <f t="shared" si="24"/>
        <v>0</v>
      </c>
      <c r="AF76" s="273">
        <f t="shared" si="25"/>
        <v>0</v>
      </c>
      <c r="AG76" s="273">
        <f t="shared" si="26"/>
        <v>0</v>
      </c>
      <c r="AH76" s="273">
        <f t="shared" si="27"/>
        <v>0</v>
      </c>
      <c r="AI76" s="273">
        <f t="shared" si="28"/>
        <v>0</v>
      </c>
      <c r="AJ76" s="273">
        <f t="shared" si="29"/>
        <v>0</v>
      </c>
      <c r="AK76" s="273">
        <f t="shared" si="30"/>
        <v>0</v>
      </c>
      <c r="AL76" s="274">
        <f t="shared" si="31"/>
        <v>0</v>
      </c>
      <c r="AN76" s="75" t="str">
        <f t="shared" si="32"/>
        <v>-</v>
      </c>
      <c r="AO76" s="75" t="str">
        <f t="shared" si="33"/>
        <v>-</v>
      </c>
      <c r="AP76" s="48">
        <f t="shared" si="36"/>
        <v>0</v>
      </c>
      <c r="AQ76" s="48">
        <f t="shared" si="34"/>
        <v>0</v>
      </c>
      <c r="AR76" s="49">
        <f t="shared" si="35"/>
        <v>0</v>
      </c>
    </row>
    <row r="77" spans="1:44" ht="15">
      <c r="A77" s="38" t="s">
        <v>3937</v>
      </c>
      <c r="B77" s="38" t="s">
        <v>30</v>
      </c>
      <c r="C77" s="38" t="s">
        <v>3934</v>
      </c>
      <c r="D77" s="38" t="s">
        <v>3938</v>
      </c>
      <c r="E77" s="38" t="s">
        <v>3939</v>
      </c>
      <c r="F77" s="38">
        <v>57050</v>
      </c>
      <c r="G77" s="47">
        <f t="shared" si="16"/>
        <v>6.5978850116714893E-2</v>
      </c>
      <c r="H77" s="44">
        <v>26302</v>
      </c>
      <c r="I77" s="44"/>
      <c r="J77" s="45">
        <f t="shared" si="38"/>
        <v>26302</v>
      </c>
      <c r="K77" s="38"/>
      <c r="L77" s="38"/>
      <c r="M77" s="38"/>
      <c r="N77" s="34">
        <f>VLOOKUP(F77,'GHG Emissions Factors'!$B$2:$C$4000,2,FALSE)</f>
        <v>0</v>
      </c>
      <c r="O77" s="45">
        <f t="shared" si="18"/>
        <v>0</v>
      </c>
      <c r="P77" s="34">
        <f>IF(L77="yes", 0, _xlfn.XLOOKUP(F77, 'GHG Emissions Factors'!$B$2:$B$4000, 'GHG Emissions Factors'!$D$2:$D$4000, 0))</f>
        <v>0</v>
      </c>
      <c r="Q77" s="46"/>
      <c r="R77" s="46"/>
      <c r="S77" s="46">
        <f>ProcurementAllocationData[[#This Row],[Net MWhs Procured]]-(ProcurementAllocationData[[#This Row],[Deep Green]]+ProcurementAllocationData[[#This Row],[LocalSol]]+ProcurementAllocationData[[#This Row],[GreenAccess]])</f>
        <v>26302</v>
      </c>
      <c r="T77" s="46"/>
      <c r="U77" s="46"/>
      <c r="V77" s="46"/>
      <c r="W77" s="46"/>
      <c r="X77" s="46"/>
      <c r="Y77" s="112">
        <f t="shared" si="19"/>
        <v>1735</v>
      </c>
      <c r="Z77" s="150">
        <f t="shared" si="20"/>
        <v>0</v>
      </c>
      <c r="AA77" s="150">
        <f t="shared" si="21"/>
        <v>1735</v>
      </c>
      <c r="AB77" s="113">
        <f t="shared" si="22"/>
        <v>0</v>
      </c>
      <c r="AD77" s="272" t="str">
        <f t="shared" si="23"/>
        <v>Glacier Wind 2 - Glacier Wind 2</v>
      </c>
      <c r="AE77" s="273">
        <f t="shared" si="24"/>
        <v>0</v>
      </c>
      <c r="AF77" s="273">
        <f t="shared" si="25"/>
        <v>0</v>
      </c>
      <c r="AG77" s="273">
        <f t="shared" si="26"/>
        <v>0</v>
      </c>
      <c r="AH77" s="273">
        <f t="shared" si="27"/>
        <v>0</v>
      </c>
      <c r="AI77" s="273">
        <f t="shared" si="28"/>
        <v>0</v>
      </c>
      <c r="AJ77" s="273">
        <f t="shared" si="29"/>
        <v>0</v>
      </c>
      <c r="AK77" s="273">
        <f t="shared" si="30"/>
        <v>0</v>
      </c>
      <c r="AL77" s="274">
        <f t="shared" si="31"/>
        <v>0</v>
      </c>
      <c r="AN77" s="75" t="str">
        <f t="shared" si="32"/>
        <v>-</v>
      </c>
      <c r="AO77" s="75" t="str">
        <f t="shared" si="33"/>
        <v>-</v>
      </c>
      <c r="AP77" s="48">
        <f t="shared" si="36"/>
        <v>0</v>
      </c>
      <c r="AQ77" s="48">
        <f t="shared" si="34"/>
        <v>0</v>
      </c>
      <c r="AR77" s="49">
        <f t="shared" si="35"/>
        <v>0</v>
      </c>
    </row>
    <row r="78" spans="1:44" ht="15">
      <c r="A78" s="38" t="s">
        <v>3940</v>
      </c>
      <c r="B78" s="38" t="s">
        <v>29</v>
      </c>
      <c r="C78" s="38" t="s">
        <v>3771</v>
      </c>
      <c r="D78" s="38" t="s">
        <v>3941</v>
      </c>
      <c r="E78" s="38" t="s">
        <v>3942</v>
      </c>
      <c r="F78" s="38">
        <v>59086</v>
      </c>
      <c r="G78" s="47">
        <f t="shared" si="16"/>
        <v>4.3727031303423702E-2</v>
      </c>
      <c r="H78" s="44">
        <v>29921</v>
      </c>
      <c r="I78" s="44">
        <v>10418</v>
      </c>
      <c r="J78" s="45">
        <f t="shared" si="38"/>
        <v>19503</v>
      </c>
      <c r="K78" s="38"/>
      <c r="L78" s="38"/>
      <c r="M78" s="38"/>
      <c r="N78" s="34">
        <f>VLOOKUP(F78,'GHG Emissions Factors'!$B$2:$C$4000,2,FALSE)</f>
        <v>0</v>
      </c>
      <c r="O78" s="45">
        <f t="shared" si="18"/>
        <v>0</v>
      </c>
      <c r="P78" s="34">
        <f>IF(L78="yes", 0, _xlfn.XLOOKUP(F78, 'GHG Emissions Factors'!$B$2:$B$4000, 'GHG Emissions Factors'!$D$2:$D$4000, 0))</f>
        <v>0</v>
      </c>
      <c r="Q78" s="46"/>
      <c r="R78" s="46"/>
      <c r="S78" s="46">
        <f>ProcurementAllocationData[[#This Row],[Net MWhs Procured]]-(ProcurementAllocationData[[#This Row],[Deep Green]]+ProcurementAllocationData[[#This Row],[LocalSol]]+ProcurementAllocationData[[#This Row],[GreenAccess]])</f>
        <v>0</v>
      </c>
      <c r="T78" s="46">
        <v>19503</v>
      </c>
      <c r="U78" s="46"/>
      <c r="V78" s="46"/>
      <c r="W78" s="46"/>
      <c r="X78" s="46"/>
      <c r="Y78" s="112">
        <f t="shared" si="19"/>
        <v>853</v>
      </c>
      <c r="Z78" s="150">
        <f t="shared" si="20"/>
        <v>0</v>
      </c>
      <c r="AA78" s="150">
        <f t="shared" si="21"/>
        <v>853</v>
      </c>
      <c r="AB78" s="113">
        <f t="shared" si="22"/>
        <v>0</v>
      </c>
      <c r="AD78" s="272" t="str">
        <f t="shared" si="23"/>
        <v>Goose Lake Solar - Goose Lake Solar</v>
      </c>
      <c r="AE78" s="273">
        <f t="shared" si="24"/>
        <v>0</v>
      </c>
      <c r="AF78" s="273">
        <f t="shared" si="25"/>
        <v>0</v>
      </c>
      <c r="AG78" s="273">
        <f t="shared" si="26"/>
        <v>0</v>
      </c>
      <c r="AH78" s="273">
        <f t="shared" si="27"/>
        <v>0</v>
      </c>
      <c r="AI78" s="273">
        <f t="shared" si="28"/>
        <v>0</v>
      </c>
      <c r="AJ78" s="273">
        <f t="shared" si="29"/>
        <v>0</v>
      </c>
      <c r="AK78" s="273">
        <f t="shared" si="30"/>
        <v>0</v>
      </c>
      <c r="AL78" s="274">
        <f t="shared" si="31"/>
        <v>0</v>
      </c>
      <c r="AN78" s="75" t="str">
        <f t="shared" si="32"/>
        <v>-</v>
      </c>
      <c r="AO78" s="75" t="str">
        <f t="shared" si="33"/>
        <v>-</v>
      </c>
      <c r="AP78" s="48">
        <f t="shared" si="36"/>
        <v>0</v>
      </c>
      <c r="AQ78" s="48">
        <f t="shared" si="34"/>
        <v>0</v>
      </c>
      <c r="AR78" s="49">
        <f t="shared" si="35"/>
        <v>0</v>
      </c>
    </row>
    <row r="79" spans="1:44" ht="15">
      <c r="A79" s="38" t="s">
        <v>3943</v>
      </c>
      <c r="B79" s="38" t="s">
        <v>29</v>
      </c>
      <c r="C79" s="38" t="s">
        <v>3771</v>
      </c>
      <c r="D79" s="38" t="s">
        <v>3944</v>
      </c>
      <c r="E79" s="38" t="s">
        <v>3945</v>
      </c>
      <c r="F79" s="38">
        <v>59940</v>
      </c>
      <c r="G79" s="47">
        <f t="shared" si="16"/>
        <v>4.3727031303423702E-2</v>
      </c>
      <c r="H79" s="44">
        <v>284090</v>
      </c>
      <c r="I79" s="44"/>
      <c r="J79" s="45">
        <f t="shared" si="38"/>
        <v>284090</v>
      </c>
      <c r="K79" s="38"/>
      <c r="L79" s="38"/>
      <c r="M79" s="38"/>
      <c r="N79" s="34">
        <f>VLOOKUP(F79,'GHG Emissions Factors'!$B$2:$C$4000,2,FALSE)</f>
        <v>0</v>
      </c>
      <c r="O79" s="45">
        <f t="shared" si="18"/>
        <v>0</v>
      </c>
      <c r="P79" s="34">
        <f>IF(L79="yes", 0, _xlfn.XLOOKUP(F79, 'GHG Emissions Factors'!$B$2:$B$4000, 'GHG Emissions Factors'!$D$2:$D$4000, 0))</f>
        <v>0</v>
      </c>
      <c r="Q79" s="46"/>
      <c r="R79" s="46"/>
      <c r="S79" s="46">
        <f>ProcurementAllocationData[[#This Row],[Net MWhs Procured]]-(ProcurementAllocationData[[#This Row],[Deep Green]]+ProcurementAllocationData[[#This Row],[LocalSol]]+ProcurementAllocationData[[#This Row],[GreenAccess]])</f>
        <v>284090</v>
      </c>
      <c r="T79" s="46"/>
      <c r="U79" s="46"/>
      <c r="V79" s="46"/>
      <c r="W79" s="46"/>
      <c r="X79" s="46"/>
      <c r="Y79" s="112">
        <f t="shared" si="19"/>
        <v>12422</v>
      </c>
      <c r="Z79" s="150">
        <f t="shared" si="20"/>
        <v>0</v>
      </c>
      <c r="AA79" s="150">
        <f t="shared" si="21"/>
        <v>12422</v>
      </c>
      <c r="AB79" s="113">
        <f t="shared" si="22"/>
        <v>0</v>
      </c>
      <c r="AD79" s="272" t="str">
        <f t="shared" si="23"/>
        <v>Great Valley Solar 1 - RE Tranquillity 8 Rojo</v>
      </c>
      <c r="AE79" s="273">
        <f t="shared" si="24"/>
        <v>0</v>
      </c>
      <c r="AF79" s="273">
        <f t="shared" si="25"/>
        <v>0</v>
      </c>
      <c r="AG79" s="273">
        <f t="shared" si="26"/>
        <v>0</v>
      </c>
      <c r="AH79" s="273">
        <f t="shared" si="27"/>
        <v>0</v>
      </c>
      <c r="AI79" s="273">
        <f t="shared" si="28"/>
        <v>0</v>
      </c>
      <c r="AJ79" s="273">
        <f t="shared" si="29"/>
        <v>0</v>
      </c>
      <c r="AK79" s="273">
        <f t="shared" si="30"/>
        <v>0</v>
      </c>
      <c r="AL79" s="274">
        <f t="shared" si="31"/>
        <v>0</v>
      </c>
      <c r="AN79" s="75" t="str">
        <f t="shared" si="32"/>
        <v>-</v>
      </c>
      <c r="AO79" s="75" t="str">
        <f t="shared" si="33"/>
        <v>-</v>
      </c>
      <c r="AP79" s="48">
        <f t="shared" si="36"/>
        <v>0</v>
      </c>
      <c r="AQ79" s="48">
        <f t="shared" si="34"/>
        <v>0</v>
      </c>
      <c r="AR79" s="49">
        <f t="shared" si="35"/>
        <v>0</v>
      </c>
    </row>
    <row r="80" spans="1:44" ht="15">
      <c r="A80" s="38" t="s">
        <v>3946</v>
      </c>
      <c r="B80" s="38" t="s">
        <v>28</v>
      </c>
      <c r="C80" s="38" t="s">
        <v>3771</v>
      </c>
      <c r="D80" s="38" t="s">
        <v>3947</v>
      </c>
      <c r="E80" s="38" t="s">
        <v>3948</v>
      </c>
      <c r="F80" s="38">
        <v>241</v>
      </c>
      <c r="G80" s="47">
        <f t="shared" si="16"/>
        <v>4.3727031303423702E-2</v>
      </c>
      <c r="H80" s="44">
        <v>7790</v>
      </c>
      <c r="I80" s="44"/>
      <c r="J80" s="45">
        <f t="shared" si="38"/>
        <v>7790</v>
      </c>
      <c r="K80" s="38"/>
      <c r="L80" s="38"/>
      <c r="M80" s="38"/>
      <c r="N80" s="34">
        <f>VLOOKUP(F80,'GHG Emissions Factors'!$B$2:$C$4000,2,FALSE)</f>
        <v>0</v>
      </c>
      <c r="O80" s="45">
        <f t="shared" si="18"/>
        <v>0</v>
      </c>
      <c r="P80" s="34">
        <f>IF(L80="yes", 0, _xlfn.XLOOKUP(F80, 'GHG Emissions Factors'!$B$2:$B$4000, 'GHG Emissions Factors'!$D$2:$D$4000, 0))</f>
        <v>0</v>
      </c>
      <c r="Q80" s="46"/>
      <c r="R80" s="46"/>
      <c r="S80" s="46">
        <f>ProcurementAllocationData[[#This Row],[Net MWhs Procured]]-(ProcurementAllocationData[[#This Row],[Deep Green]]+ProcurementAllocationData[[#This Row],[LocalSol]]+ProcurementAllocationData[[#This Row],[GreenAccess]])</f>
        <v>7790</v>
      </c>
      <c r="T80" s="46"/>
      <c r="U80" s="46"/>
      <c r="V80" s="46"/>
      <c r="W80" s="46"/>
      <c r="X80" s="46"/>
      <c r="Y80" s="112">
        <f t="shared" si="19"/>
        <v>341</v>
      </c>
      <c r="Z80" s="150">
        <f t="shared" si="20"/>
        <v>0</v>
      </c>
      <c r="AA80" s="150">
        <f t="shared" si="21"/>
        <v>341</v>
      </c>
      <c r="AB80" s="113">
        <f t="shared" si="22"/>
        <v>0</v>
      </c>
      <c r="AD80" s="272" t="str">
        <f t="shared" si="23"/>
        <v>Halsey Powerhouse - Halsey Powerhouse</v>
      </c>
      <c r="AE80" s="273">
        <f t="shared" si="24"/>
        <v>0</v>
      </c>
      <c r="AF80" s="273">
        <f t="shared" si="25"/>
        <v>0</v>
      </c>
      <c r="AG80" s="273">
        <f t="shared" si="26"/>
        <v>0</v>
      </c>
      <c r="AH80" s="273">
        <f t="shared" si="27"/>
        <v>0</v>
      </c>
      <c r="AI80" s="273">
        <f t="shared" si="28"/>
        <v>0</v>
      </c>
      <c r="AJ80" s="273">
        <f t="shared" si="29"/>
        <v>0</v>
      </c>
      <c r="AK80" s="273">
        <f t="shared" si="30"/>
        <v>0</v>
      </c>
      <c r="AL80" s="274">
        <f t="shared" si="31"/>
        <v>0</v>
      </c>
      <c r="AN80" s="75" t="str">
        <f t="shared" si="32"/>
        <v>-</v>
      </c>
      <c r="AO80" s="75" t="str">
        <f t="shared" si="33"/>
        <v>-</v>
      </c>
      <c r="AP80" s="48">
        <f t="shared" si="36"/>
        <v>0</v>
      </c>
      <c r="AQ80" s="48">
        <f t="shared" si="34"/>
        <v>0</v>
      </c>
      <c r="AR80" s="49">
        <f t="shared" si="35"/>
        <v>0</v>
      </c>
    </row>
    <row r="81" spans="1:44" ht="15">
      <c r="A81" s="38" t="s">
        <v>3949</v>
      </c>
      <c r="B81" s="38" t="s">
        <v>28</v>
      </c>
      <c r="C81" s="38" t="s">
        <v>3771</v>
      </c>
      <c r="D81" s="38" t="s">
        <v>3950</v>
      </c>
      <c r="E81" s="38" t="s">
        <v>3951</v>
      </c>
      <c r="F81" s="38">
        <v>243</v>
      </c>
      <c r="G81" s="47">
        <f t="shared" si="16"/>
        <v>4.3727031303423702E-2</v>
      </c>
      <c r="H81" s="44">
        <v>12298</v>
      </c>
      <c r="I81" s="44"/>
      <c r="J81" s="45">
        <f t="shared" si="38"/>
        <v>12298</v>
      </c>
      <c r="K81" s="38"/>
      <c r="L81" s="38"/>
      <c r="M81" s="38"/>
      <c r="N81" s="34">
        <f>VLOOKUP(F81,'GHG Emissions Factors'!$B$2:$C$4000,2,FALSE)</f>
        <v>0</v>
      </c>
      <c r="O81" s="45">
        <f t="shared" si="18"/>
        <v>0</v>
      </c>
      <c r="P81" s="34">
        <f>IF(L81="yes", 0, _xlfn.XLOOKUP(F81, 'GHG Emissions Factors'!$B$2:$B$4000, 'GHG Emissions Factors'!$D$2:$D$4000, 0))</f>
        <v>0</v>
      </c>
      <c r="Q81" s="46"/>
      <c r="R81" s="46"/>
      <c r="S81" s="46">
        <f>ProcurementAllocationData[[#This Row],[Net MWhs Procured]]-(ProcurementAllocationData[[#This Row],[Deep Green]]+ProcurementAllocationData[[#This Row],[LocalSol]]+ProcurementAllocationData[[#This Row],[GreenAccess]])</f>
        <v>12298</v>
      </c>
      <c r="T81" s="46"/>
      <c r="U81" s="46"/>
      <c r="V81" s="46"/>
      <c r="W81" s="46"/>
      <c r="X81" s="46"/>
      <c r="Y81" s="112">
        <f t="shared" si="19"/>
        <v>538</v>
      </c>
      <c r="Z81" s="150">
        <f t="shared" si="20"/>
        <v>0</v>
      </c>
      <c r="AA81" s="150">
        <f t="shared" si="21"/>
        <v>538</v>
      </c>
      <c r="AB81" s="113">
        <f t="shared" si="22"/>
        <v>0</v>
      </c>
      <c r="AD81" s="272" t="str">
        <f t="shared" si="23"/>
        <v>Hat Creek No. 1 Powerhouse - Hat Creek No. 1 Powerhouse</v>
      </c>
      <c r="AE81" s="273">
        <f t="shared" si="24"/>
        <v>0</v>
      </c>
      <c r="AF81" s="273">
        <f t="shared" si="25"/>
        <v>0</v>
      </c>
      <c r="AG81" s="273">
        <f t="shared" si="26"/>
        <v>0</v>
      </c>
      <c r="AH81" s="273">
        <f t="shared" si="27"/>
        <v>0</v>
      </c>
      <c r="AI81" s="273">
        <f t="shared" si="28"/>
        <v>0</v>
      </c>
      <c r="AJ81" s="273">
        <f t="shared" si="29"/>
        <v>0</v>
      </c>
      <c r="AK81" s="273">
        <f t="shared" si="30"/>
        <v>0</v>
      </c>
      <c r="AL81" s="274">
        <f t="shared" si="31"/>
        <v>0</v>
      </c>
      <c r="AN81" s="75" t="str">
        <f t="shared" si="32"/>
        <v>-</v>
      </c>
      <c r="AO81" s="75" t="str">
        <f t="shared" si="33"/>
        <v>-</v>
      </c>
      <c r="AP81" s="48">
        <f t="shared" si="36"/>
        <v>0</v>
      </c>
      <c r="AQ81" s="48">
        <f t="shared" si="34"/>
        <v>0</v>
      </c>
      <c r="AR81" s="49">
        <f t="shared" si="35"/>
        <v>0</v>
      </c>
    </row>
    <row r="82" spans="1:44" ht="15">
      <c r="A82" s="38" t="s">
        <v>3952</v>
      </c>
      <c r="B82" s="38" t="s">
        <v>28</v>
      </c>
      <c r="C82" s="38" t="s">
        <v>3771</v>
      </c>
      <c r="D82" s="38" t="s">
        <v>3953</v>
      </c>
      <c r="E82" s="38" t="s">
        <v>3954</v>
      </c>
      <c r="F82" s="38">
        <v>244</v>
      </c>
      <c r="G82" s="47">
        <f t="shared" si="16"/>
        <v>4.3727031303423702E-2</v>
      </c>
      <c r="H82" s="44">
        <v>16187</v>
      </c>
      <c r="I82" s="44"/>
      <c r="J82" s="45">
        <f t="shared" si="38"/>
        <v>16187</v>
      </c>
      <c r="K82" s="38"/>
      <c r="L82" s="38"/>
      <c r="M82" s="38"/>
      <c r="N82" s="34">
        <f>VLOOKUP(F82,'GHG Emissions Factors'!$B$2:$C$4000,2,FALSE)</f>
        <v>0</v>
      </c>
      <c r="O82" s="45">
        <f t="shared" si="18"/>
        <v>0</v>
      </c>
      <c r="P82" s="34">
        <f>IF(L82="yes", 0, _xlfn.XLOOKUP(F82, 'GHG Emissions Factors'!$B$2:$B$4000, 'GHG Emissions Factors'!$D$2:$D$4000, 0))</f>
        <v>0</v>
      </c>
      <c r="Q82" s="46"/>
      <c r="R82" s="46"/>
      <c r="S82" s="46">
        <f>ProcurementAllocationData[[#This Row],[Net MWhs Procured]]-(ProcurementAllocationData[[#This Row],[Deep Green]]+ProcurementAllocationData[[#This Row],[LocalSol]]+ProcurementAllocationData[[#This Row],[GreenAccess]])</f>
        <v>16187</v>
      </c>
      <c r="T82" s="46"/>
      <c r="U82" s="46"/>
      <c r="V82" s="46"/>
      <c r="W82" s="46"/>
      <c r="X82" s="46"/>
      <c r="Y82" s="112">
        <f t="shared" si="19"/>
        <v>708</v>
      </c>
      <c r="Z82" s="150">
        <f t="shared" si="20"/>
        <v>0</v>
      </c>
      <c r="AA82" s="150">
        <f t="shared" si="21"/>
        <v>708</v>
      </c>
      <c r="AB82" s="113">
        <f t="shared" si="22"/>
        <v>0</v>
      </c>
      <c r="AD82" s="272" t="str">
        <f t="shared" si="23"/>
        <v>Hat Creek No. 2 Powerhouse - Hat Creek No. 2 Powerhouse</v>
      </c>
      <c r="AE82" s="273">
        <f t="shared" si="24"/>
        <v>0</v>
      </c>
      <c r="AF82" s="273">
        <f t="shared" si="25"/>
        <v>0</v>
      </c>
      <c r="AG82" s="273">
        <f t="shared" si="26"/>
        <v>0</v>
      </c>
      <c r="AH82" s="273">
        <f t="shared" si="27"/>
        <v>0</v>
      </c>
      <c r="AI82" s="273">
        <f t="shared" si="28"/>
        <v>0</v>
      </c>
      <c r="AJ82" s="273">
        <f t="shared" si="29"/>
        <v>0</v>
      </c>
      <c r="AK82" s="273">
        <f t="shared" si="30"/>
        <v>0</v>
      </c>
      <c r="AL82" s="274">
        <f t="shared" si="31"/>
        <v>0</v>
      </c>
      <c r="AN82" s="75" t="str">
        <f t="shared" si="32"/>
        <v>-</v>
      </c>
      <c r="AO82" s="75" t="str">
        <f t="shared" si="33"/>
        <v>-</v>
      </c>
      <c r="AP82" s="48">
        <f t="shared" si="36"/>
        <v>0</v>
      </c>
      <c r="AQ82" s="48">
        <f t="shared" si="34"/>
        <v>0</v>
      </c>
      <c r="AR82" s="49">
        <f t="shared" si="35"/>
        <v>0</v>
      </c>
    </row>
    <row r="83" spans="1:44" ht="15">
      <c r="A83" s="38" t="s">
        <v>3955</v>
      </c>
      <c r="B83" s="38" t="s">
        <v>30</v>
      </c>
      <c r="C83" s="38" t="s">
        <v>3771</v>
      </c>
      <c r="D83" s="38" t="s">
        <v>3956</v>
      </c>
      <c r="E83" s="38" t="s">
        <v>3957</v>
      </c>
      <c r="F83" s="38">
        <v>56654</v>
      </c>
      <c r="G83" s="47">
        <f t="shared" si="16"/>
        <v>4.3727031303423702E-2</v>
      </c>
      <c r="H83" s="44">
        <v>107580</v>
      </c>
      <c r="I83" s="44"/>
      <c r="J83" s="45">
        <f t="shared" si="38"/>
        <v>107580</v>
      </c>
      <c r="K83" s="38"/>
      <c r="L83" s="38"/>
      <c r="M83" s="38"/>
      <c r="N83" s="34">
        <f>VLOOKUP(F83,'GHG Emissions Factors'!$B$2:$C$4000,2,FALSE)</f>
        <v>0</v>
      </c>
      <c r="O83" s="45">
        <f t="shared" si="18"/>
        <v>0</v>
      </c>
      <c r="P83" s="34">
        <f>IF(L83="yes", 0, _xlfn.XLOOKUP(F83, 'GHG Emissions Factors'!$B$2:$B$4000, 'GHG Emissions Factors'!$D$2:$D$4000, 0))</f>
        <v>0</v>
      </c>
      <c r="Q83" s="46"/>
      <c r="R83" s="46"/>
      <c r="S83" s="46">
        <f>ProcurementAllocationData[[#This Row],[Net MWhs Procured]]-(ProcurementAllocationData[[#This Row],[Deep Green]]+ProcurementAllocationData[[#This Row],[LocalSol]]+ProcurementAllocationData[[#This Row],[GreenAccess]])</f>
        <v>107580</v>
      </c>
      <c r="T83" s="46"/>
      <c r="U83" s="46"/>
      <c r="V83" s="46"/>
      <c r="W83" s="46"/>
      <c r="X83" s="46"/>
      <c r="Y83" s="112">
        <f t="shared" si="19"/>
        <v>4704</v>
      </c>
      <c r="Z83" s="150">
        <f t="shared" si="20"/>
        <v>0</v>
      </c>
      <c r="AA83" s="150">
        <f t="shared" si="21"/>
        <v>4704</v>
      </c>
      <c r="AB83" s="113">
        <f t="shared" si="22"/>
        <v>0</v>
      </c>
      <c r="AD83" s="272" t="str">
        <f t="shared" si="23"/>
        <v>Hatchet Ridge - Hatchet Ridge</v>
      </c>
      <c r="AE83" s="273">
        <f t="shared" si="24"/>
        <v>0</v>
      </c>
      <c r="AF83" s="273">
        <f t="shared" si="25"/>
        <v>0</v>
      </c>
      <c r="AG83" s="273">
        <f t="shared" si="26"/>
        <v>0</v>
      </c>
      <c r="AH83" s="273">
        <f t="shared" si="27"/>
        <v>0</v>
      </c>
      <c r="AI83" s="273">
        <f t="shared" si="28"/>
        <v>0</v>
      </c>
      <c r="AJ83" s="273">
        <f t="shared" si="29"/>
        <v>0</v>
      </c>
      <c r="AK83" s="273">
        <f t="shared" si="30"/>
        <v>0</v>
      </c>
      <c r="AL83" s="274">
        <f t="shared" si="31"/>
        <v>0</v>
      </c>
      <c r="AN83" s="75" t="str">
        <f t="shared" si="32"/>
        <v>-</v>
      </c>
      <c r="AO83" s="75" t="str">
        <f t="shared" si="33"/>
        <v>-</v>
      </c>
      <c r="AP83" s="48">
        <f t="shared" si="36"/>
        <v>0</v>
      </c>
      <c r="AQ83" s="48">
        <f t="shared" si="34"/>
        <v>0</v>
      </c>
      <c r="AR83" s="49">
        <f t="shared" si="35"/>
        <v>0</v>
      </c>
    </row>
    <row r="84" spans="1:44" ht="15">
      <c r="A84" s="38" t="s">
        <v>3958</v>
      </c>
      <c r="B84" s="38" t="s">
        <v>29</v>
      </c>
      <c r="C84" s="38" t="s">
        <v>3771</v>
      </c>
      <c r="D84" s="38" t="s">
        <v>3959</v>
      </c>
      <c r="E84" s="38" t="s">
        <v>3960</v>
      </c>
      <c r="F84" s="38">
        <v>57523</v>
      </c>
      <c r="G84" s="47">
        <f t="shared" si="16"/>
        <v>4.3727031303423702E-2</v>
      </c>
      <c r="H84" s="44">
        <v>1412</v>
      </c>
      <c r="I84" s="44"/>
      <c r="J84" s="45">
        <f t="shared" si="38"/>
        <v>1412</v>
      </c>
      <c r="K84" s="38"/>
      <c r="L84" s="38"/>
      <c r="M84" s="38"/>
      <c r="N84" s="34">
        <f>VLOOKUP(F84,'GHG Emissions Factors'!$B$2:$C$4000,2,FALSE)</f>
        <v>0</v>
      </c>
      <c r="O84" s="45">
        <f t="shared" si="18"/>
        <v>0</v>
      </c>
      <c r="P84" s="34">
        <f>IF(L84="yes", 0, _xlfn.XLOOKUP(F84, 'GHG Emissions Factors'!$B$2:$B$4000, 'GHG Emissions Factors'!$D$2:$D$4000, 0))</f>
        <v>0</v>
      </c>
      <c r="Q84" s="46"/>
      <c r="R84" s="46"/>
      <c r="S84" s="46">
        <f>ProcurementAllocationData[[#This Row],[Net MWhs Procured]]-(ProcurementAllocationData[[#This Row],[Deep Green]]+ProcurementAllocationData[[#This Row],[LocalSol]]+ProcurementAllocationData[[#This Row],[GreenAccess]])</f>
        <v>1412</v>
      </c>
      <c r="T84" s="46"/>
      <c r="U84" s="46"/>
      <c r="V84" s="46"/>
      <c r="W84" s="46"/>
      <c r="X84" s="46"/>
      <c r="Y84" s="112">
        <f t="shared" si="19"/>
        <v>62</v>
      </c>
      <c r="Z84" s="150">
        <f t="shared" si="20"/>
        <v>0</v>
      </c>
      <c r="AA84" s="150">
        <f t="shared" si="21"/>
        <v>62</v>
      </c>
      <c r="AB84" s="113">
        <f t="shared" si="22"/>
        <v>0</v>
      </c>
      <c r="AD84" s="272" t="str">
        <f t="shared" si="23"/>
        <v>Huron Solar Station - Huron Solar Station</v>
      </c>
      <c r="AE84" s="273">
        <f t="shared" si="24"/>
        <v>0</v>
      </c>
      <c r="AF84" s="273">
        <f t="shared" si="25"/>
        <v>0</v>
      </c>
      <c r="AG84" s="273">
        <f t="shared" si="26"/>
        <v>0</v>
      </c>
      <c r="AH84" s="273">
        <f t="shared" si="27"/>
        <v>0</v>
      </c>
      <c r="AI84" s="273">
        <f t="shared" si="28"/>
        <v>0</v>
      </c>
      <c r="AJ84" s="273">
        <f t="shared" si="29"/>
        <v>0</v>
      </c>
      <c r="AK84" s="273">
        <f t="shared" si="30"/>
        <v>0</v>
      </c>
      <c r="AL84" s="274">
        <f t="shared" si="31"/>
        <v>0</v>
      </c>
      <c r="AN84" s="75" t="str">
        <f t="shared" si="32"/>
        <v>-</v>
      </c>
      <c r="AO84" s="75" t="str">
        <f t="shared" si="33"/>
        <v>-</v>
      </c>
      <c r="AP84" s="48">
        <f t="shared" si="36"/>
        <v>0</v>
      </c>
      <c r="AQ84" s="48">
        <f t="shared" si="34"/>
        <v>0</v>
      </c>
      <c r="AR84" s="49">
        <f t="shared" si="35"/>
        <v>0</v>
      </c>
    </row>
    <row r="85" spans="1:44" ht="15">
      <c r="A85" s="38" t="s">
        <v>3961</v>
      </c>
      <c r="B85" s="38" t="s">
        <v>29</v>
      </c>
      <c r="C85" s="38" t="s">
        <v>3771</v>
      </c>
      <c r="D85" s="38" t="s">
        <v>3962</v>
      </c>
      <c r="E85" s="38" t="s">
        <v>3963</v>
      </c>
      <c r="F85" s="38">
        <v>57075</v>
      </c>
      <c r="G85" s="47">
        <f t="shared" si="16"/>
        <v>4.3727031303423702E-2</v>
      </c>
      <c r="H85" s="44">
        <v>6544</v>
      </c>
      <c r="I85" s="44"/>
      <c r="J85" s="45">
        <f t="shared" si="38"/>
        <v>6544</v>
      </c>
      <c r="K85" s="38"/>
      <c r="L85" s="38"/>
      <c r="M85" s="38"/>
      <c r="N85" s="34">
        <f>VLOOKUP(F85,'GHG Emissions Factors'!$B$2:$C$4000,2,FALSE)</f>
        <v>9.5200000000000007E-2</v>
      </c>
      <c r="O85" s="45">
        <f t="shared" si="18"/>
        <v>622.98880000000008</v>
      </c>
      <c r="P85" s="34">
        <f>IF(L85="yes", 0, _xlfn.XLOOKUP(F85, 'GHG Emissions Factors'!$B$2:$B$4000, 'GHG Emissions Factors'!$D$2:$D$4000, 0))</f>
        <v>9.5200000000000007E-2</v>
      </c>
      <c r="Q85" s="46"/>
      <c r="R85" s="46"/>
      <c r="S85" s="46">
        <f>ProcurementAllocationData[[#This Row],[Net MWhs Procured]]-(ProcurementAllocationData[[#This Row],[Deep Green]]+ProcurementAllocationData[[#This Row],[LocalSol]]+ProcurementAllocationData[[#This Row],[GreenAccess]])</f>
        <v>6544</v>
      </c>
      <c r="T85" s="46"/>
      <c r="U85" s="46"/>
      <c r="V85" s="46"/>
      <c r="W85" s="46"/>
      <c r="X85" s="46"/>
      <c r="Y85" s="112">
        <f t="shared" si="19"/>
        <v>286</v>
      </c>
      <c r="Z85" s="150">
        <f t="shared" si="20"/>
        <v>0</v>
      </c>
      <c r="AA85" s="150">
        <f t="shared" si="21"/>
        <v>286</v>
      </c>
      <c r="AB85" s="113">
        <f t="shared" si="22"/>
        <v>0</v>
      </c>
      <c r="AD85" s="272" t="str">
        <f t="shared" si="23"/>
        <v>Ivanpah - Unit 3</v>
      </c>
      <c r="AE85" s="273">
        <f t="shared" si="24"/>
        <v>0</v>
      </c>
      <c r="AF85" s="273">
        <f t="shared" si="25"/>
        <v>0</v>
      </c>
      <c r="AG85" s="273">
        <f t="shared" si="26"/>
        <v>622.98880000000008</v>
      </c>
      <c r="AH85" s="273">
        <f t="shared" si="27"/>
        <v>0</v>
      </c>
      <c r="AI85" s="273">
        <f t="shared" si="28"/>
        <v>0</v>
      </c>
      <c r="AJ85" s="273">
        <f t="shared" si="29"/>
        <v>0</v>
      </c>
      <c r="AK85" s="273">
        <f t="shared" si="30"/>
        <v>0</v>
      </c>
      <c r="AL85" s="274">
        <f t="shared" si="31"/>
        <v>0</v>
      </c>
      <c r="AN85" s="75" t="str">
        <f t="shared" si="32"/>
        <v>-</v>
      </c>
      <c r="AO85" s="75" t="str">
        <f t="shared" si="33"/>
        <v>-</v>
      </c>
      <c r="AP85" s="48">
        <f t="shared" si="36"/>
        <v>0</v>
      </c>
      <c r="AQ85" s="48">
        <f t="shared" si="34"/>
        <v>0</v>
      </c>
      <c r="AR85" s="49">
        <f t="shared" si="35"/>
        <v>0</v>
      </c>
    </row>
    <row r="86" spans="1:44" ht="15">
      <c r="A86" s="38" t="s">
        <v>3964</v>
      </c>
      <c r="B86" s="38" t="s">
        <v>28</v>
      </c>
      <c r="C86" s="38" t="s">
        <v>3771</v>
      </c>
      <c r="D86" s="38" t="s">
        <v>3965</v>
      </c>
      <c r="E86" s="38" t="s">
        <v>3966</v>
      </c>
      <c r="F86" s="38">
        <v>7911</v>
      </c>
      <c r="G86" s="47">
        <f t="shared" si="16"/>
        <v>4.3727031303423702E-2</v>
      </c>
      <c r="H86" s="44">
        <v>67286</v>
      </c>
      <c r="I86" s="44"/>
      <c r="J86" s="45">
        <f t="shared" si="38"/>
        <v>67286</v>
      </c>
      <c r="K86" s="38"/>
      <c r="L86" s="38"/>
      <c r="M86" s="38"/>
      <c r="N86" s="34">
        <f>VLOOKUP(F86,'GHG Emissions Factors'!$B$2:$C$4000,2,FALSE)</f>
        <v>0</v>
      </c>
      <c r="O86" s="45">
        <f t="shared" si="18"/>
        <v>0</v>
      </c>
      <c r="P86" s="34">
        <f>IF(L86="yes", 0, _xlfn.XLOOKUP(F86, 'GHG Emissions Factors'!$B$2:$B$4000, 'GHG Emissions Factors'!$D$2:$D$4000, 0))</f>
        <v>0</v>
      </c>
      <c r="Q86" s="46"/>
      <c r="R86" s="46"/>
      <c r="S86" s="46">
        <f>ProcurementAllocationData[[#This Row],[Net MWhs Procured]]-(ProcurementAllocationData[[#This Row],[Deep Green]]+ProcurementAllocationData[[#This Row],[LocalSol]]+ProcurementAllocationData[[#This Row],[GreenAccess]])</f>
        <v>67286</v>
      </c>
      <c r="T86" s="46"/>
      <c r="U86" s="46"/>
      <c r="V86" s="46"/>
      <c r="W86" s="46"/>
      <c r="X86" s="46"/>
      <c r="Y86" s="112">
        <f t="shared" si="19"/>
        <v>2942</v>
      </c>
      <c r="Z86" s="150">
        <f t="shared" si="20"/>
        <v>0</v>
      </c>
      <c r="AA86" s="150">
        <f t="shared" si="21"/>
        <v>2942</v>
      </c>
      <c r="AB86" s="113">
        <f t="shared" si="22"/>
        <v>0</v>
      </c>
      <c r="AD86" s="272" t="str">
        <f t="shared" si="23"/>
        <v>Kern Canyon Powerhouse - Kern Canyon Powerhouse</v>
      </c>
      <c r="AE86" s="273">
        <f t="shared" si="24"/>
        <v>0</v>
      </c>
      <c r="AF86" s="273">
        <f t="shared" si="25"/>
        <v>0</v>
      </c>
      <c r="AG86" s="273">
        <f t="shared" si="26"/>
        <v>0</v>
      </c>
      <c r="AH86" s="273">
        <f t="shared" si="27"/>
        <v>0</v>
      </c>
      <c r="AI86" s="273">
        <f t="shared" si="28"/>
        <v>0</v>
      </c>
      <c r="AJ86" s="273">
        <f t="shared" si="29"/>
        <v>0</v>
      </c>
      <c r="AK86" s="273">
        <f t="shared" si="30"/>
        <v>0</v>
      </c>
      <c r="AL86" s="274">
        <f t="shared" si="31"/>
        <v>0</v>
      </c>
      <c r="AN86" s="75" t="str">
        <f t="shared" si="32"/>
        <v>-</v>
      </c>
      <c r="AO86" s="75" t="str">
        <f t="shared" si="33"/>
        <v>-</v>
      </c>
      <c r="AP86" s="48">
        <f t="shared" si="36"/>
        <v>0</v>
      </c>
      <c r="AQ86" s="48">
        <f t="shared" si="34"/>
        <v>0</v>
      </c>
      <c r="AR86" s="49">
        <f t="shared" si="35"/>
        <v>0</v>
      </c>
    </row>
    <row r="87" spans="1:44" ht="15">
      <c r="A87" s="38" t="s">
        <v>3967</v>
      </c>
      <c r="B87" s="38" t="s">
        <v>30</v>
      </c>
      <c r="C87" s="38" t="s">
        <v>3968</v>
      </c>
      <c r="D87" s="38" t="s">
        <v>3969</v>
      </c>
      <c r="E87" s="38" t="s">
        <v>3970</v>
      </c>
      <c r="F87" s="38">
        <v>56858</v>
      </c>
      <c r="G87" s="47">
        <f t="shared" si="16"/>
        <v>6.5978850116714893E-2</v>
      </c>
      <c r="H87" s="44">
        <v>8455</v>
      </c>
      <c r="I87" s="44"/>
      <c r="J87" s="45">
        <f t="shared" si="38"/>
        <v>8455</v>
      </c>
      <c r="K87" s="38"/>
      <c r="L87" s="38"/>
      <c r="M87" s="38"/>
      <c r="N87" s="34">
        <f>VLOOKUP(F87,'GHG Emissions Factors'!$B$2:$C$4000,2,FALSE)</f>
        <v>0</v>
      </c>
      <c r="O87" s="45">
        <f t="shared" si="18"/>
        <v>0</v>
      </c>
      <c r="P87" s="34">
        <f>IF(L87="yes", 0, _xlfn.XLOOKUP(F87, 'GHG Emissions Factors'!$B$2:$B$4000, 'GHG Emissions Factors'!$D$2:$D$4000, 0))</f>
        <v>0</v>
      </c>
      <c r="Q87" s="46"/>
      <c r="R87" s="46"/>
      <c r="S87" s="46">
        <f>ProcurementAllocationData[[#This Row],[Net MWhs Procured]]-(ProcurementAllocationData[[#This Row],[Deep Green]]+ProcurementAllocationData[[#This Row],[LocalSol]]+ProcurementAllocationData[[#This Row],[GreenAccess]])</f>
        <v>8455</v>
      </c>
      <c r="T87" s="46"/>
      <c r="U87" s="46"/>
      <c r="V87" s="46"/>
      <c r="W87" s="46"/>
      <c r="X87" s="46"/>
      <c r="Y87" s="112">
        <f t="shared" si="19"/>
        <v>558</v>
      </c>
      <c r="Z87" s="150">
        <f t="shared" si="20"/>
        <v>0</v>
      </c>
      <c r="AA87" s="150">
        <f t="shared" si="21"/>
        <v>558</v>
      </c>
      <c r="AB87" s="113">
        <f t="shared" si="22"/>
        <v>0</v>
      </c>
      <c r="AD87" s="272" t="str">
        <f t="shared" si="23"/>
        <v>Kittitas Valley Wind Farm - Sagebrush Power Partners, LLC</v>
      </c>
      <c r="AE87" s="273">
        <f t="shared" si="24"/>
        <v>0</v>
      </c>
      <c r="AF87" s="273">
        <f t="shared" si="25"/>
        <v>0</v>
      </c>
      <c r="AG87" s="273">
        <f t="shared" si="26"/>
        <v>0</v>
      </c>
      <c r="AH87" s="273">
        <f t="shared" si="27"/>
        <v>0</v>
      </c>
      <c r="AI87" s="273">
        <f t="shared" si="28"/>
        <v>0</v>
      </c>
      <c r="AJ87" s="273">
        <f t="shared" si="29"/>
        <v>0</v>
      </c>
      <c r="AK87" s="273">
        <f t="shared" si="30"/>
        <v>0</v>
      </c>
      <c r="AL87" s="274">
        <f t="shared" si="31"/>
        <v>0</v>
      </c>
      <c r="AN87" s="75" t="str">
        <f t="shared" si="32"/>
        <v>-</v>
      </c>
      <c r="AO87" s="75" t="str">
        <f t="shared" si="33"/>
        <v>-</v>
      </c>
      <c r="AP87" s="48">
        <f t="shared" si="36"/>
        <v>0</v>
      </c>
      <c r="AQ87" s="48">
        <f t="shared" si="34"/>
        <v>0</v>
      </c>
      <c r="AR87" s="49">
        <f t="shared" si="35"/>
        <v>0</v>
      </c>
    </row>
    <row r="88" spans="1:44" ht="15">
      <c r="A88" s="38" t="s">
        <v>3971</v>
      </c>
      <c r="B88" s="38" t="s">
        <v>29</v>
      </c>
      <c r="C88" s="38" t="s">
        <v>3771</v>
      </c>
      <c r="D88" s="38" t="s">
        <v>3972</v>
      </c>
      <c r="E88" s="38" t="s">
        <v>3973</v>
      </c>
      <c r="F88" s="38" t="s">
        <v>3371</v>
      </c>
      <c r="G88" s="47">
        <f t="shared" si="16"/>
        <v>4.3727031303423702E-2</v>
      </c>
      <c r="H88" s="44">
        <v>8066</v>
      </c>
      <c r="I88" s="44"/>
      <c r="J88" s="45">
        <f t="shared" si="38"/>
        <v>8066</v>
      </c>
      <c r="K88" s="38"/>
      <c r="L88" s="38"/>
      <c r="M88" s="38"/>
      <c r="N88" s="34">
        <f>VLOOKUP(F88,'GHG Emissions Factors'!$B$2:$C$4000,2,FALSE)</f>
        <v>0</v>
      </c>
      <c r="O88" s="45">
        <f t="shared" si="18"/>
        <v>0</v>
      </c>
      <c r="P88" s="34">
        <f>IF(L88="yes", 0, _xlfn.XLOOKUP(F88, 'GHG Emissions Factors'!$B$2:$B$4000, 'GHG Emissions Factors'!$D$2:$D$4000, 0))</f>
        <v>0</v>
      </c>
      <c r="Q88" s="46"/>
      <c r="R88" s="46"/>
      <c r="S88" s="46">
        <f>ProcurementAllocationData[[#This Row],[Net MWhs Procured]]-(ProcurementAllocationData[[#This Row],[Deep Green]]+ProcurementAllocationData[[#This Row],[LocalSol]]+ProcurementAllocationData[[#This Row],[GreenAccess]])</f>
        <v>8066</v>
      </c>
      <c r="T88" s="46"/>
      <c r="U88" s="46"/>
      <c r="V88" s="46"/>
      <c r="W88" s="46"/>
      <c r="X88" s="46"/>
      <c r="Y88" s="112">
        <f t="shared" si="19"/>
        <v>353</v>
      </c>
      <c r="Z88" s="150">
        <f t="shared" si="20"/>
        <v>0</v>
      </c>
      <c r="AA88" s="150">
        <f t="shared" si="21"/>
        <v>353</v>
      </c>
      <c r="AB88" s="113">
        <f t="shared" si="22"/>
        <v>0</v>
      </c>
      <c r="AD88" s="272" t="str">
        <f t="shared" si="23"/>
        <v>Lake Herman Solar - Lake Herman Solar</v>
      </c>
      <c r="AE88" s="273">
        <f t="shared" si="24"/>
        <v>0</v>
      </c>
      <c r="AF88" s="273">
        <f t="shared" si="25"/>
        <v>0</v>
      </c>
      <c r="AG88" s="273">
        <f t="shared" si="26"/>
        <v>0</v>
      </c>
      <c r="AH88" s="273">
        <f t="shared" si="27"/>
        <v>0</v>
      </c>
      <c r="AI88" s="273">
        <f t="shared" si="28"/>
        <v>0</v>
      </c>
      <c r="AJ88" s="273">
        <f t="shared" si="29"/>
        <v>0</v>
      </c>
      <c r="AK88" s="273">
        <f t="shared" si="30"/>
        <v>0</v>
      </c>
      <c r="AL88" s="274">
        <f t="shared" si="31"/>
        <v>0</v>
      </c>
      <c r="AN88" s="75" t="str">
        <f t="shared" si="32"/>
        <v>-</v>
      </c>
      <c r="AO88" s="75" t="str">
        <f t="shared" si="33"/>
        <v>-</v>
      </c>
      <c r="AP88" s="48">
        <f t="shared" si="36"/>
        <v>0</v>
      </c>
      <c r="AQ88" s="48">
        <f t="shared" si="34"/>
        <v>0</v>
      </c>
      <c r="AR88" s="49">
        <f t="shared" si="35"/>
        <v>0</v>
      </c>
    </row>
    <row r="89" spans="1:44" ht="15">
      <c r="A89" s="38" t="s">
        <v>3974</v>
      </c>
      <c r="B89" s="38" t="s">
        <v>26</v>
      </c>
      <c r="C89" s="38" t="s">
        <v>3771</v>
      </c>
      <c r="D89" s="38" t="s">
        <v>3975</v>
      </c>
      <c r="E89" s="38" t="s">
        <v>3976</v>
      </c>
      <c r="F89" s="38">
        <v>57988</v>
      </c>
      <c r="G89" s="47">
        <f t="shared" si="16"/>
        <v>4.3727031303423702E-2</v>
      </c>
      <c r="H89" s="44">
        <v>4888</v>
      </c>
      <c r="I89" s="44">
        <v>1154</v>
      </c>
      <c r="J89" s="45">
        <f t="shared" si="38"/>
        <v>3734</v>
      </c>
      <c r="K89" s="38"/>
      <c r="L89" s="38"/>
      <c r="M89" s="38"/>
      <c r="N89" s="34">
        <f>VLOOKUP(F89,'GHG Emissions Factors'!$B$2:$C$4000,2,FALSE)</f>
        <v>1.0994999999999999</v>
      </c>
      <c r="O89" s="45">
        <f t="shared" si="18"/>
        <v>4105.5329999999994</v>
      </c>
      <c r="P89" s="34">
        <f>IF(L89="yes", 0, _xlfn.XLOOKUP(F89, 'GHG Emissions Factors'!$B$2:$B$4000, 'GHG Emissions Factors'!$D$2:$D$4000, 0))</f>
        <v>5.5999999999999999E-3</v>
      </c>
      <c r="Q89" s="46"/>
      <c r="R89" s="46"/>
      <c r="S89" s="46">
        <f>ProcurementAllocationData[[#This Row],[Net MWhs Procured]]-(ProcurementAllocationData[[#This Row],[Deep Green]]+ProcurementAllocationData[[#This Row],[LocalSol]]+ProcurementAllocationData[[#This Row],[GreenAccess]])</f>
        <v>3734</v>
      </c>
      <c r="T89" s="46"/>
      <c r="U89" s="46"/>
      <c r="V89" s="46"/>
      <c r="W89" s="46"/>
      <c r="X89" s="46"/>
      <c r="Y89" s="112">
        <f t="shared" si="19"/>
        <v>163</v>
      </c>
      <c r="Z89" s="150">
        <f t="shared" si="20"/>
        <v>0</v>
      </c>
      <c r="AA89" s="150">
        <f t="shared" si="21"/>
        <v>163</v>
      </c>
      <c r="AB89" s="113">
        <f t="shared" si="22"/>
        <v>0</v>
      </c>
      <c r="AD89" s="272" t="str">
        <f t="shared" si="23"/>
        <v>Lincoln Landfill Power Plant - Unit 3</v>
      </c>
      <c r="AE89" s="273">
        <f t="shared" si="24"/>
        <v>0</v>
      </c>
      <c r="AF89" s="273">
        <f t="shared" si="25"/>
        <v>0</v>
      </c>
      <c r="AG89" s="273">
        <f t="shared" si="26"/>
        <v>20.910399999999999</v>
      </c>
      <c r="AH89" s="273">
        <f t="shared" si="27"/>
        <v>0</v>
      </c>
      <c r="AI89" s="273">
        <f t="shared" si="28"/>
        <v>0</v>
      </c>
      <c r="AJ89" s="273">
        <f t="shared" si="29"/>
        <v>0</v>
      </c>
      <c r="AK89" s="273">
        <f t="shared" si="30"/>
        <v>0</v>
      </c>
      <c r="AL89" s="274">
        <f t="shared" si="31"/>
        <v>0</v>
      </c>
      <c r="AN89" s="75" t="str">
        <f t="shared" si="32"/>
        <v>-</v>
      </c>
      <c r="AO89" s="75" t="str">
        <f t="shared" si="33"/>
        <v>-</v>
      </c>
      <c r="AP89" s="48">
        <f t="shared" si="36"/>
        <v>0</v>
      </c>
      <c r="AQ89" s="48">
        <f t="shared" si="34"/>
        <v>0</v>
      </c>
      <c r="AR89" s="49">
        <f t="shared" si="35"/>
        <v>0</v>
      </c>
    </row>
    <row r="90" spans="1:44" ht="15">
      <c r="A90" s="38" t="s">
        <v>3977</v>
      </c>
      <c r="B90" s="38" t="s">
        <v>26</v>
      </c>
      <c r="C90" s="38" t="s">
        <v>3771</v>
      </c>
      <c r="D90" s="38" t="s">
        <v>3978</v>
      </c>
      <c r="E90" s="38" t="s">
        <v>3976</v>
      </c>
      <c r="F90" s="38">
        <v>57988</v>
      </c>
      <c r="G90" s="47">
        <f t="shared" si="16"/>
        <v>4.3727031303423702E-2</v>
      </c>
      <c r="H90" s="44">
        <v>9776</v>
      </c>
      <c r="I90" s="44">
        <v>2309</v>
      </c>
      <c r="J90" s="45">
        <f t="shared" si="38"/>
        <v>7467</v>
      </c>
      <c r="K90" s="38"/>
      <c r="L90" s="38"/>
      <c r="M90" s="38"/>
      <c r="N90" s="34">
        <f>VLOOKUP(F90,'GHG Emissions Factors'!$B$2:$C$4000,2,FALSE)</f>
        <v>1.0994999999999999</v>
      </c>
      <c r="O90" s="45">
        <f t="shared" si="18"/>
        <v>8209.9664999999986</v>
      </c>
      <c r="P90" s="34">
        <f>IF(L90="yes", 0, _xlfn.XLOOKUP(F90, 'GHG Emissions Factors'!$B$2:$B$4000, 'GHG Emissions Factors'!$D$2:$D$4000, 0))</f>
        <v>5.5999999999999999E-3</v>
      </c>
      <c r="Q90" s="46"/>
      <c r="R90" s="46"/>
      <c r="S90" s="46">
        <f>ProcurementAllocationData[[#This Row],[Net MWhs Procured]]-(ProcurementAllocationData[[#This Row],[Deep Green]]+ProcurementAllocationData[[#This Row],[LocalSol]]+ProcurementAllocationData[[#This Row],[GreenAccess]])</f>
        <v>7467</v>
      </c>
      <c r="T90" s="46"/>
      <c r="U90" s="46"/>
      <c r="V90" s="46"/>
      <c r="W90" s="46"/>
      <c r="X90" s="46"/>
      <c r="Y90" s="112">
        <f t="shared" si="19"/>
        <v>327</v>
      </c>
      <c r="Z90" s="150">
        <f t="shared" si="20"/>
        <v>0</v>
      </c>
      <c r="AA90" s="150">
        <f t="shared" si="21"/>
        <v>327</v>
      </c>
      <c r="AB90" s="113">
        <f t="shared" si="22"/>
        <v>0</v>
      </c>
      <c r="AD90" s="272" t="str">
        <f t="shared" si="23"/>
        <v>Lincoln Landfill Power Plant - Units 1 &amp; 2</v>
      </c>
      <c r="AE90" s="273">
        <f t="shared" si="24"/>
        <v>0</v>
      </c>
      <c r="AF90" s="273">
        <f t="shared" si="25"/>
        <v>0</v>
      </c>
      <c r="AG90" s="273">
        <f t="shared" si="26"/>
        <v>41.815199999999997</v>
      </c>
      <c r="AH90" s="273">
        <f t="shared" si="27"/>
        <v>0</v>
      </c>
      <c r="AI90" s="273">
        <f t="shared" si="28"/>
        <v>0</v>
      </c>
      <c r="AJ90" s="273">
        <f t="shared" si="29"/>
        <v>0</v>
      </c>
      <c r="AK90" s="273">
        <f t="shared" si="30"/>
        <v>0</v>
      </c>
      <c r="AL90" s="274">
        <f t="shared" si="31"/>
        <v>0</v>
      </c>
      <c r="AN90" s="75" t="str">
        <f t="shared" si="32"/>
        <v>-</v>
      </c>
      <c r="AO90" s="75" t="str">
        <f t="shared" si="33"/>
        <v>-</v>
      </c>
      <c r="AP90" s="48">
        <f t="shared" si="36"/>
        <v>0</v>
      </c>
      <c r="AQ90" s="48">
        <f t="shared" si="34"/>
        <v>0</v>
      </c>
      <c r="AR90" s="49">
        <f t="shared" si="35"/>
        <v>0</v>
      </c>
    </row>
    <row r="91" spans="1:44" ht="15">
      <c r="A91" s="38" t="s">
        <v>3979</v>
      </c>
      <c r="B91" s="38" t="s">
        <v>26</v>
      </c>
      <c r="C91" s="38" t="s">
        <v>3771</v>
      </c>
      <c r="D91" s="38" t="s">
        <v>3980</v>
      </c>
      <c r="E91" s="38" t="s">
        <v>3976</v>
      </c>
      <c r="F91" s="38">
        <v>57988</v>
      </c>
      <c r="G91" s="47">
        <f t="shared" si="16"/>
        <v>4.3727031303423702E-2</v>
      </c>
      <c r="H91" s="44">
        <v>14754</v>
      </c>
      <c r="I91" s="44">
        <v>3486</v>
      </c>
      <c r="J91" s="45">
        <f t="shared" si="38"/>
        <v>11268</v>
      </c>
      <c r="K91" s="38"/>
      <c r="L91" s="38"/>
      <c r="M91" s="38"/>
      <c r="N91" s="34">
        <f>VLOOKUP(F91,'GHG Emissions Factors'!$B$2:$C$4000,2,FALSE)</f>
        <v>1.0994999999999999</v>
      </c>
      <c r="O91" s="45">
        <f t="shared" si="18"/>
        <v>12389.165999999999</v>
      </c>
      <c r="P91" s="34">
        <f>IF(L91="yes", 0, _xlfn.XLOOKUP(F91, 'GHG Emissions Factors'!$B$2:$B$4000, 'GHG Emissions Factors'!$D$2:$D$4000, 0))</f>
        <v>5.5999999999999999E-3</v>
      </c>
      <c r="Q91" s="46"/>
      <c r="R91" s="46"/>
      <c r="S91" s="46">
        <f>ProcurementAllocationData[[#This Row],[Net MWhs Procured]]-(ProcurementAllocationData[[#This Row],[Deep Green]]+ProcurementAllocationData[[#This Row],[LocalSol]]+ProcurementAllocationData[[#This Row],[GreenAccess]])</f>
        <v>11268</v>
      </c>
      <c r="T91" s="46"/>
      <c r="U91" s="46"/>
      <c r="V91" s="46"/>
      <c r="W91" s="46"/>
      <c r="X91" s="46"/>
      <c r="Y91" s="112">
        <f t="shared" si="19"/>
        <v>493</v>
      </c>
      <c r="Z91" s="150">
        <f t="shared" si="20"/>
        <v>0</v>
      </c>
      <c r="AA91" s="150">
        <f t="shared" si="21"/>
        <v>493</v>
      </c>
      <c r="AB91" s="113">
        <f t="shared" si="22"/>
        <v>0</v>
      </c>
      <c r="AD91" s="272" t="str">
        <f t="shared" si="23"/>
        <v>Lincoln Landfill Power Plant - Units 4, 5, &amp; 6</v>
      </c>
      <c r="AE91" s="273">
        <f t="shared" si="24"/>
        <v>0</v>
      </c>
      <c r="AF91" s="273">
        <f t="shared" si="25"/>
        <v>0</v>
      </c>
      <c r="AG91" s="273">
        <f t="shared" si="26"/>
        <v>63.1008</v>
      </c>
      <c r="AH91" s="273">
        <f t="shared" si="27"/>
        <v>0</v>
      </c>
      <c r="AI91" s="273">
        <f t="shared" si="28"/>
        <v>0</v>
      </c>
      <c r="AJ91" s="273">
        <f t="shared" si="29"/>
        <v>0</v>
      </c>
      <c r="AK91" s="273">
        <f t="shared" si="30"/>
        <v>0</v>
      </c>
      <c r="AL91" s="274">
        <f t="shared" si="31"/>
        <v>0</v>
      </c>
      <c r="AN91" s="75" t="str">
        <f t="shared" si="32"/>
        <v>-</v>
      </c>
      <c r="AO91" s="75" t="str">
        <f t="shared" si="33"/>
        <v>-</v>
      </c>
      <c r="AP91" s="48">
        <f t="shared" si="36"/>
        <v>0</v>
      </c>
      <c r="AQ91" s="48">
        <f t="shared" si="34"/>
        <v>0</v>
      </c>
      <c r="AR91" s="49">
        <f t="shared" si="35"/>
        <v>0</v>
      </c>
    </row>
    <row r="92" spans="1:44" ht="15">
      <c r="A92" s="38" t="s">
        <v>3981</v>
      </c>
      <c r="B92" s="38" t="s">
        <v>29</v>
      </c>
      <c r="C92" s="38" t="s">
        <v>3771</v>
      </c>
      <c r="D92" s="38" t="s">
        <v>3982</v>
      </c>
      <c r="E92" s="38" t="s">
        <v>3983</v>
      </c>
      <c r="F92" s="38">
        <v>59870</v>
      </c>
      <c r="G92" s="47">
        <f t="shared" ref="G92:G155" si="39">IF(C92="CA",Default_in_state_loss_factor,Default_out_of_state_loss_factor)</f>
        <v>4.3727031303423702E-2</v>
      </c>
      <c r="H92" s="44">
        <v>63394</v>
      </c>
      <c r="I92" s="44">
        <v>5911</v>
      </c>
      <c r="J92" s="45">
        <f t="shared" si="38"/>
        <v>57483</v>
      </c>
      <c r="K92" s="38"/>
      <c r="L92" s="38"/>
      <c r="M92" s="38"/>
      <c r="N92" s="34">
        <f>VLOOKUP(F92,'GHG Emissions Factors'!$B$2:$C$4000,2,FALSE)</f>
        <v>0</v>
      </c>
      <c r="O92" s="45">
        <f t="shared" ref="O92:O155" si="40">N92*J92</f>
        <v>0</v>
      </c>
      <c r="P92" s="34">
        <f>IF(L92="yes", 0, _xlfn.XLOOKUP(F92, 'GHG Emissions Factors'!$B$2:$B$4000, 'GHG Emissions Factors'!$D$2:$D$4000, 0))</f>
        <v>0</v>
      </c>
      <c r="Q92" s="46"/>
      <c r="R92" s="46"/>
      <c r="S92" s="46">
        <f>ProcurementAllocationData[[#This Row],[Net MWhs Procured]]-(ProcurementAllocationData[[#This Row],[Deep Green]]+ProcurementAllocationData[[#This Row],[LocalSol]]+ProcurementAllocationData[[#This Row],[GreenAccess]])</f>
        <v>57483</v>
      </c>
      <c r="T92" s="46"/>
      <c r="U92" s="46"/>
      <c r="V92" s="46"/>
      <c r="W92" s="46"/>
      <c r="X92" s="46"/>
      <c r="Y92" s="112">
        <f t="shared" ref="Y92:Y155" si="41">ROUND((SUM(Q92:X92)*G92),0)</f>
        <v>2514</v>
      </c>
      <c r="Z92" s="150">
        <f t="shared" ref="Z92:Z155" si="42">IF(M92="Yes",Y92,0)</f>
        <v>0</v>
      </c>
      <c r="AA92" s="150">
        <f t="shared" ref="AA92:AA155" si="43">Y92-Z92</f>
        <v>2514</v>
      </c>
      <c r="AB92" s="113">
        <f t="shared" ref="AB92:AB155" si="44">J92-(SUM(Q92:X92))</f>
        <v>0</v>
      </c>
      <c r="AD92" s="272" t="str">
        <f t="shared" ref="AD92:AD155" si="45">IF(ISTEXT(A92),A92,"")</f>
        <v>Little Bear Solar 1 - Little Bear Solar 1</v>
      </c>
      <c r="AE92" s="273">
        <f t="shared" ref="AE92:AE155" si="46">Q92*$P92</f>
        <v>0</v>
      </c>
      <c r="AF92" s="273">
        <f t="shared" ref="AF92:AF155" si="47">R92*$P92</f>
        <v>0</v>
      </c>
      <c r="AG92" s="273">
        <f t="shared" ref="AG92:AG155" si="48">S92*$P92</f>
        <v>0</v>
      </c>
      <c r="AH92" s="273">
        <f t="shared" ref="AH92:AH155" si="49">T92*$P92</f>
        <v>0</v>
      </c>
      <c r="AI92" s="273">
        <f t="shared" ref="AI92:AI155" si="50">U92*$P92</f>
        <v>0</v>
      </c>
      <c r="AJ92" s="273">
        <f t="shared" ref="AJ92:AJ155" si="51">V92*$P92</f>
        <v>0</v>
      </c>
      <c r="AK92" s="273">
        <f t="shared" ref="AK92:AK155" si="52">W92*$P92</f>
        <v>0</v>
      </c>
      <c r="AL92" s="274">
        <f t="shared" ref="AL92:AL155" si="53">(X92*$P92)+(Z92*$P92)</f>
        <v>0</v>
      </c>
      <c r="AN92" s="75" t="str">
        <f t="shared" ref="AN92:AN155" si="54">IF(AB92&gt;0,A92,"-")</f>
        <v>-</v>
      </c>
      <c r="AO92" s="75" t="str">
        <f t="shared" ref="AO92:AO155" si="55">IF(AB92&gt;0,B92,"-")</f>
        <v>-</v>
      </c>
      <c r="AP92" s="48">
        <f t="shared" si="36"/>
        <v>0</v>
      </c>
      <c r="AQ92" s="48">
        <f t="shared" ref="AQ92:AQ155" si="56">AP92*G92</f>
        <v>0</v>
      </c>
      <c r="AR92" s="49">
        <f t="shared" ref="AR92:AR155" si="57">IF(ISNUMBER(AP92),AP92*N92,0)</f>
        <v>0</v>
      </c>
    </row>
    <row r="93" spans="1:44" ht="15">
      <c r="A93" s="38" t="s">
        <v>3984</v>
      </c>
      <c r="B93" s="38" t="s">
        <v>29</v>
      </c>
      <c r="C93" s="38" t="s">
        <v>3771</v>
      </c>
      <c r="D93" s="38" t="s">
        <v>3985</v>
      </c>
      <c r="E93" s="38" t="s">
        <v>3986</v>
      </c>
      <c r="F93" s="38">
        <v>62463</v>
      </c>
      <c r="G93" s="47">
        <f t="shared" si="39"/>
        <v>4.3727031303423702E-2</v>
      </c>
      <c r="H93" s="44">
        <v>20326</v>
      </c>
      <c r="I93" s="44">
        <v>4073</v>
      </c>
      <c r="J93" s="45">
        <f t="shared" si="38"/>
        <v>16253</v>
      </c>
      <c r="K93" s="38"/>
      <c r="L93" s="38"/>
      <c r="M93" s="38"/>
      <c r="N93" s="34">
        <f>VLOOKUP(F93,'GHG Emissions Factors'!$B$2:$C$4000,2,FALSE)</f>
        <v>0</v>
      </c>
      <c r="O93" s="45">
        <f t="shared" si="40"/>
        <v>0</v>
      </c>
      <c r="P93" s="34">
        <f>IF(L93="yes", 0, _xlfn.XLOOKUP(F93, 'GHG Emissions Factors'!$B$2:$B$4000, 'GHG Emissions Factors'!$D$2:$D$4000, 0))</f>
        <v>0</v>
      </c>
      <c r="Q93" s="46"/>
      <c r="R93" s="46"/>
      <c r="S93" s="46">
        <f>ProcurementAllocationData[[#This Row],[Net MWhs Procured]]-(ProcurementAllocationData[[#This Row],[Deep Green]]+ProcurementAllocationData[[#This Row],[LocalSol]]+ProcurementAllocationData[[#This Row],[GreenAccess]])</f>
        <v>16253</v>
      </c>
      <c r="T93" s="46"/>
      <c r="U93" s="46"/>
      <c r="V93" s="46"/>
      <c r="W93" s="46"/>
      <c r="X93" s="46"/>
      <c r="Y93" s="112">
        <f t="shared" si="41"/>
        <v>711</v>
      </c>
      <c r="Z93" s="150">
        <f t="shared" si="42"/>
        <v>0</v>
      </c>
      <c r="AA93" s="150">
        <f t="shared" si="43"/>
        <v>711</v>
      </c>
      <c r="AB93" s="113">
        <f t="shared" si="44"/>
        <v>0</v>
      </c>
      <c r="AD93" s="272" t="str">
        <f t="shared" si="45"/>
        <v>Little Bear Solar 3 - Little Bear Solar 3</v>
      </c>
      <c r="AE93" s="273">
        <f t="shared" si="46"/>
        <v>0</v>
      </c>
      <c r="AF93" s="273">
        <f t="shared" si="47"/>
        <v>0</v>
      </c>
      <c r="AG93" s="273">
        <f t="shared" si="48"/>
        <v>0</v>
      </c>
      <c r="AH93" s="273">
        <f t="shared" si="49"/>
        <v>0</v>
      </c>
      <c r="AI93" s="273">
        <f t="shared" si="50"/>
        <v>0</v>
      </c>
      <c r="AJ93" s="273">
        <f t="shared" si="51"/>
        <v>0</v>
      </c>
      <c r="AK93" s="273">
        <f t="shared" si="52"/>
        <v>0</v>
      </c>
      <c r="AL93" s="274">
        <f t="shared" si="53"/>
        <v>0</v>
      </c>
      <c r="AN93" s="75" t="str">
        <f t="shared" si="54"/>
        <v>-</v>
      </c>
      <c r="AO93" s="75" t="str">
        <f t="shared" si="55"/>
        <v>-</v>
      </c>
      <c r="AP93" s="48">
        <f t="shared" ref="AP93:AP156" si="58">IF(AB93&gt;0,AB93,0)</f>
        <v>0</v>
      </c>
      <c r="AQ93" s="48">
        <f t="shared" si="56"/>
        <v>0</v>
      </c>
      <c r="AR93" s="49">
        <f t="shared" si="57"/>
        <v>0</v>
      </c>
    </row>
    <row r="94" spans="1:44" ht="15">
      <c r="A94" s="38" t="s">
        <v>3987</v>
      </c>
      <c r="B94" s="38" t="s">
        <v>29</v>
      </c>
      <c r="C94" s="38" t="s">
        <v>3771</v>
      </c>
      <c r="D94" s="38" t="s">
        <v>3988</v>
      </c>
      <c r="E94" s="38" t="s">
        <v>3989</v>
      </c>
      <c r="F94" s="38">
        <v>62464</v>
      </c>
      <c r="G94" s="47">
        <f t="shared" si="39"/>
        <v>4.3727031303423702E-2</v>
      </c>
      <c r="H94" s="44">
        <v>38293</v>
      </c>
      <c r="I94" s="44">
        <v>9475</v>
      </c>
      <c r="J94" s="45">
        <f t="shared" si="38"/>
        <v>28818</v>
      </c>
      <c r="K94" s="38"/>
      <c r="L94" s="38"/>
      <c r="M94" s="38"/>
      <c r="N94" s="34">
        <f>VLOOKUP(F94,'GHG Emissions Factors'!$B$2:$C$4000,2,FALSE)</f>
        <v>0</v>
      </c>
      <c r="O94" s="45">
        <f t="shared" si="40"/>
        <v>0</v>
      </c>
      <c r="P94" s="34">
        <f>IF(L94="yes", 0, _xlfn.XLOOKUP(F94, 'GHG Emissions Factors'!$B$2:$B$4000, 'GHG Emissions Factors'!$D$2:$D$4000, 0))</f>
        <v>0</v>
      </c>
      <c r="Q94" s="46"/>
      <c r="R94" s="46"/>
      <c r="S94" s="46">
        <f>ProcurementAllocationData[[#This Row],[Net MWhs Procured]]-(ProcurementAllocationData[[#This Row],[Deep Green]]+ProcurementAllocationData[[#This Row],[LocalSol]]+ProcurementAllocationData[[#This Row],[GreenAccess]])</f>
        <v>28818</v>
      </c>
      <c r="T94" s="46"/>
      <c r="U94" s="46"/>
      <c r="V94" s="46"/>
      <c r="W94" s="46"/>
      <c r="X94" s="46"/>
      <c r="Y94" s="112">
        <f t="shared" si="41"/>
        <v>1260</v>
      </c>
      <c r="Z94" s="150">
        <f t="shared" si="42"/>
        <v>0</v>
      </c>
      <c r="AA94" s="150">
        <f t="shared" si="43"/>
        <v>1260</v>
      </c>
      <c r="AB94" s="113">
        <f t="shared" si="44"/>
        <v>0</v>
      </c>
      <c r="AD94" s="272" t="str">
        <f t="shared" si="45"/>
        <v>Little Bear Solar 4 - Little Bear Solar 4</v>
      </c>
      <c r="AE94" s="273">
        <f t="shared" si="46"/>
        <v>0</v>
      </c>
      <c r="AF94" s="273">
        <f t="shared" si="47"/>
        <v>0</v>
      </c>
      <c r="AG94" s="273">
        <f t="shared" si="48"/>
        <v>0</v>
      </c>
      <c r="AH94" s="273">
        <f t="shared" si="49"/>
        <v>0</v>
      </c>
      <c r="AI94" s="273">
        <f t="shared" si="50"/>
        <v>0</v>
      </c>
      <c r="AJ94" s="273">
        <f t="shared" si="51"/>
        <v>0</v>
      </c>
      <c r="AK94" s="273">
        <f t="shared" si="52"/>
        <v>0</v>
      </c>
      <c r="AL94" s="274">
        <f t="shared" si="53"/>
        <v>0</v>
      </c>
      <c r="AN94" s="75" t="str">
        <f t="shared" si="54"/>
        <v>-</v>
      </c>
      <c r="AO94" s="75" t="str">
        <f t="shared" si="55"/>
        <v>-</v>
      </c>
      <c r="AP94" s="48">
        <f t="shared" si="58"/>
        <v>0</v>
      </c>
      <c r="AQ94" s="48">
        <f t="shared" si="56"/>
        <v>0</v>
      </c>
      <c r="AR94" s="49">
        <f t="shared" si="57"/>
        <v>0</v>
      </c>
    </row>
    <row r="95" spans="1:44" ht="15">
      <c r="A95" s="38" t="s">
        <v>3990</v>
      </c>
      <c r="B95" s="38" t="s">
        <v>29</v>
      </c>
      <c r="C95" s="38" t="s">
        <v>3771</v>
      </c>
      <c r="D95" s="38" t="s">
        <v>3991</v>
      </c>
      <c r="E95" s="38" t="s">
        <v>3992</v>
      </c>
      <c r="F95" s="38">
        <v>62465</v>
      </c>
      <c r="G95" s="47">
        <f t="shared" si="39"/>
        <v>4.3727031303423702E-2</v>
      </c>
      <c r="H95" s="44">
        <v>111085</v>
      </c>
      <c r="I95" s="44">
        <v>6759</v>
      </c>
      <c r="J95" s="45">
        <f t="shared" si="38"/>
        <v>104326</v>
      </c>
      <c r="K95" s="38"/>
      <c r="L95" s="38"/>
      <c r="M95" s="38"/>
      <c r="N95" s="34">
        <f>VLOOKUP(F95,'GHG Emissions Factors'!$B$2:$C$4000,2,FALSE)</f>
        <v>0</v>
      </c>
      <c r="O95" s="45">
        <f t="shared" si="40"/>
        <v>0</v>
      </c>
      <c r="P95" s="34">
        <f>IF(L95="yes", 0, _xlfn.XLOOKUP(F95, 'GHG Emissions Factors'!$B$2:$B$4000, 'GHG Emissions Factors'!$D$2:$D$4000, 0))</f>
        <v>0</v>
      </c>
      <c r="Q95" s="46"/>
      <c r="R95" s="46"/>
      <c r="S95" s="46">
        <f>ProcurementAllocationData[[#This Row],[Net MWhs Procured]]-(ProcurementAllocationData[[#This Row],[Deep Green]]+ProcurementAllocationData[[#This Row],[LocalSol]]+ProcurementAllocationData[[#This Row],[GreenAccess]])</f>
        <v>104326</v>
      </c>
      <c r="T95" s="46"/>
      <c r="U95" s="46"/>
      <c r="V95" s="46"/>
      <c r="W95" s="46"/>
      <c r="X95" s="46"/>
      <c r="Y95" s="112">
        <f t="shared" si="41"/>
        <v>4562</v>
      </c>
      <c r="Z95" s="150">
        <f t="shared" si="42"/>
        <v>0</v>
      </c>
      <c r="AA95" s="150">
        <f t="shared" si="43"/>
        <v>4562</v>
      </c>
      <c r="AB95" s="113">
        <f t="shared" si="44"/>
        <v>0</v>
      </c>
      <c r="AD95" s="272" t="str">
        <f t="shared" si="45"/>
        <v>Little Bear Solar 5 - Little Bear Solar 5</v>
      </c>
      <c r="AE95" s="273">
        <f t="shared" si="46"/>
        <v>0</v>
      </c>
      <c r="AF95" s="273">
        <f t="shared" si="47"/>
        <v>0</v>
      </c>
      <c r="AG95" s="273">
        <f t="shared" si="48"/>
        <v>0</v>
      </c>
      <c r="AH95" s="273">
        <f t="shared" si="49"/>
        <v>0</v>
      </c>
      <c r="AI95" s="273">
        <f t="shared" si="50"/>
        <v>0</v>
      </c>
      <c r="AJ95" s="273">
        <f t="shared" si="51"/>
        <v>0</v>
      </c>
      <c r="AK95" s="273">
        <f t="shared" si="52"/>
        <v>0</v>
      </c>
      <c r="AL95" s="274">
        <f t="shared" si="53"/>
        <v>0</v>
      </c>
      <c r="AN95" s="75" t="str">
        <f t="shared" si="54"/>
        <v>-</v>
      </c>
      <c r="AO95" s="75" t="str">
        <f t="shared" si="55"/>
        <v>-</v>
      </c>
      <c r="AP95" s="48">
        <f t="shared" si="58"/>
        <v>0</v>
      </c>
      <c r="AQ95" s="48">
        <f t="shared" si="56"/>
        <v>0</v>
      </c>
      <c r="AR95" s="49">
        <f t="shared" si="57"/>
        <v>0</v>
      </c>
    </row>
    <row r="96" spans="1:44" ht="15">
      <c r="A96" s="38" t="s">
        <v>3993</v>
      </c>
      <c r="B96" s="38" t="s">
        <v>29</v>
      </c>
      <c r="C96" s="38" t="s">
        <v>3771</v>
      </c>
      <c r="D96" s="38" t="s">
        <v>3994</v>
      </c>
      <c r="E96" s="38" t="s">
        <v>3995</v>
      </c>
      <c r="F96" s="38" t="s">
        <v>3457</v>
      </c>
      <c r="G96" s="47">
        <f t="shared" si="39"/>
        <v>4.3727031303423702E-2</v>
      </c>
      <c r="H96" s="44">
        <v>1272</v>
      </c>
      <c r="I96" s="44"/>
      <c r="J96" s="45">
        <f t="shared" si="38"/>
        <v>1272</v>
      </c>
      <c r="K96" s="38"/>
      <c r="L96" s="38"/>
      <c r="M96" s="38"/>
      <c r="N96" s="34">
        <f>VLOOKUP(F96,'GHG Emissions Factors'!$B$2:$C$4000,2,FALSE)</f>
        <v>0</v>
      </c>
      <c r="O96" s="45">
        <f t="shared" si="40"/>
        <v>0</v>
      </c>
      <c r="P96" s="34">
        <f>IF(L96="yes", 0, _xlfn.XLOOKUP(F96, 'GHG Emissions Factors'!$B$2:$B$4000, 'GHG Emissions Factors'!$D$2:$D$4000, 0))</f>
        <v>0</v>
      </c>
      <c r="Q96" s="46"/>
      <c r="R96" s="46"/>
      <c r="S96" s="46">
        <f>ProcurementAllocationData[[#This Row],[Net MWhs Procured]]-(ProcurementAllocationData[[#This Row],[Deep Green]]+ProcurementAllocationData[[#This Row],[LocalSol]]+ProcurementAllocationData[[#This Row],[GreenAccess]])</f>
        <v>1272</v>
      </c>
      <c r="T96" s="46"/>
      <c r="U96" s="46"/>
      <c r="V96" s="46"/>
      <c r="W96" s="46"/>
      <c r="X96" s="46"/>
      <c r="Y96" s="112">
        <f t="shared" si="41"/>
        <v>56</v>
      </c>
      <c r="Z96" s="150">
        <f t="shared" si="42"/>
        <v>0</v>
      </c>
      <c r="AA96" s="150">
        <f t="shared" si="43"/>
        <v>56</v>
      </c>
      <c r="AB96" s="113">
        <f t="shared" si="44"/>
        <v>0</v>
      </c>
      <c r="AD96" s="272" t="str">
        <f t="shared" si="45"/>
        <v>Marin Carport - Buck Institute - Marin Carport - Buck Institute</v>
      </c>
      <c r="AE96" s="273">
        <f t="shared" si="46"/>
        <v>0</v>
      </c>
      <c r="AF96" s="273">
        <f t="shared" si="47"/>
        <v>0</v>
      </c>
      <c r="AG96" s="273">
        <f t="shared" si="48"/>
        <v>0</v>
      </c>
      <c r="AH96" s="273">
        <f t="shared" si="49"/>
        <v>0</v>
      </c>
      <c r="AI96" s="273">
        <f t="shared" si="50"/>
        <v>0</v>
      </c>
      <c r="AJ96" s="273">
        <f t="shared" si="51"/>
        <v>0</v>
      </c>
      <c r="AK96" s="273">
        <f t="shared" si="52"/>
        <v>0</v>
      </c>
      <c r="AL96" s="274">
        <f t="shared" si="53"/>
        <v>0</v>
      </c>
      <c r="AN96" s="75" t="str">
        <f t="shared" si="54"/>
        <v>-</v>
      </c>
      <c r="AO96" s="75" t="str">
        <f t="shared" si="55"/>
        <v>-</v>
      </c>
      <c r="AP96" s="48">
        <f t="shared" si="58"/>
        <v>0</v>
      </c>
      <c r="AQ96" s="48">
        <f t="shared" si="56"/>
        <v>0</v>
      </c>
      <c r="AR96" s="49">
        <f t="shared" si="57"/>
        <v>0</v>
      </c>
    </row>
    <row r="97" spans="1:44" ht="15">
      <c r="A97" s="38" t="s">
        <v>3996</v>
      </c>
      <c r="B97" s="38" t="s">
        <v>29</v>
      </c>
      <c r="C97" s="38" t="s">
        <v>3771</v>
      </c>
      <c r="D97" s="38" t="s">
        <v>3997</v>
      </c>
      <c r="E97" s="38" t="s">
        <v>3998</v>
      </c>
      <c r="F97" s="38">
        <v>61013</v>
      </c>
      <c r="G97" s="47">
        <f t="shared" si="39"/>
        <v>4.3727031303423702E-2</v>
      </c>
      <c r="H97" s="44">
        <v>3928</v>
      </c>
      <c r="I97" s="44"/>
      <c r="J97" s="45">
        <f t="shared" si="38"/>
        <v>3928</v>
      </c>
      <c r="K97" s="38"/>
      <c r="L97" s="38"/>
      <c r="M97" s="38"/>
      <c r="N97" s="34">
        <f>VLOOKUP(F97,'GHG Emissions Factors'!$B$2:$C$4000,2,FALSE)</f>
        <v>0</v>
      </c>
      <c r="O97" s="45">
        <f t="shared" si="40"/>
        <v>0</v>
      </c>
      <c r="P97" s="34">
        <f>IF(L97="yes", 0, _xlfn.XLOOKUP(F97, 'GHG Emissions Factors'!$B$2:$B$4000, 'GHG Emissions Factors'!$D$2:$D$4000, 0))</f>
        <v>0</v>
      </c>
      <c r="Q97" s="46"/>
      <c r="R97" s="46"/>
      <c r="S97" s="46">
        <f>ProcurementAllocationData[[#This Row],[Net MWhs Procured]]-(ProcurementAllocationData[[#This Row],[Deep Green]]+ProcurementAllocationData[[#This Row],[LocalSol]]+ProcurementAllocationData[[#This Row],[GreenAccess]])</f>
        <v>3928</v>
      </c>
      <c r="T97" s="46"/>
      <c r="U97" s="46"/>
      <c r="V97" s="46"/>
      <c r="W97" s="46"/>
      <c r="X97" s="46"/>
      <c r="Y97" s="112">
        <f t="shared" si="41"/>
        <v>172</v>
      </c>
      <c r="Z97" s="150">
        <f t="shared" si="42"/>
        <v>0</v>
      </c>
      <c r="AA97" s="150">
        <f t="shared" si="43"/>
        <v>172</v>
      </c>
      <c r="AB97" s="113">
        <f t="shared" si="44"/>
        <v>0</v>
      </c>
      <c r="AD97" s="272" t="str">
        <f t="shared" si="45"/>
        <v>MCE Solar One 2.0 - Richmond Chevron 2</v>
      </c>
      <c r="AE97" s="273">
        <f t="shared" si="46"/>
        <v>0</v>
      </c>
      <c r="AF97" s="273">
        <f t="shared" si="47"/>
        <v>0</v>
      </c>
      <c r="AG97" s="273">
        <f t="shared" si="48"/>
        <v>0</v>
      </c>
      <c r="AH97" s="273">
        <f t="shared" si="49"/>
        <v>0</v>
      </c>
      <c r="AI97" s="273">
        <f t="shared" si="50"/>
        <v>0</v>
      </c>
      <c r="AJ97" s="273">
        <f t="shared" si="51"/>
        <v>0</v>
      </c>
      <c r="AK97" s="273">
        <f t="shared" si="52"/>
        <v>0</v>
      </c>
      <c r="AL97" s="274">
        <f t="shared" si="53"/>
        <v>0</v>
      </c>
      <c r="AN97" s="75" t="str">
        <f t="shared" si="54"/>
        <v>-</v>
      </c>
      <c r="AO97" s="75" t="str">
        <f t="shared" si="55"/>
        <v>-</v>
      </c>
      <c r="AP97" s="48">
        <f t="shared" si="58"/>
        <v>0</v>
      </c>
      <c r="AQ97" s="48">
        <f t="shared" si="56"/>
        <v>0</v>
      </c>
      <c r="AR97" s="49">
        <f t="shared" si="57"/>
        <v>0</v>
      </c>
    </row>
    <row r="98" spans="1:44" ht="15">
      <c r="A98" s="38" t="s">
        <v>3999</v>
      </c>
      <c r="B98" s="38" t="s">
        <v>29</v>
      </c>
      <c r="C98" s="38" t="s">
        <v>3771</v>
      </c>
      <c r="D98" s="38" t="s">
        <v>4000</v>
      </c>
      <c r="E98" s="38" t="s">
        <v>4001</v>
      </c>
      <c r="F98" s="38">
        <v>61013</v>
      </c>
      <c r="G98" s="47">
        <f t="shared" si="39"/>
        <v>4.3727031303423702E-2</v>
      </c>
      <c r="H98" s="44">
        <v>17331</v>
      </c>
      <c r="I98" s="44"/>
      <c r="J98" s="45">
        <f t="shared" si="38"/>
        <v>17331</v>
      </c>
      <c r="K98" s="38"/>
      <c r="L98" s="38"/>
      <c r="M98" s="38"/>
      <c r="N98" s="34">
        <f>VLOOKUP(F98,'GHG Emissions Factors'!$B$2:$C$4000,2,FALSE)</f>
        <v>0</v>
      </c>
      <c r="O98" s="45">
        <f t="shared" si="40"/>
        <v>0</v>
      </c>
      <c r="P98" s="34">
        <f>IF(L98="yes", 0, _xlfn.XLOOKUP(F98, 'GHG Emissions Factors'!$B$2:$B$4000, 'GHG Emissions Factors'!$D$2:$D$4000, 0))</f>
        <v>0</v>
      </c>
      <c r="Q98" s="46"/>
      <c r="R98" s="46"/>
      <c r="S98" s="46">
        <f>ProcurementAllocationData[[#This Row],[Net MWhs Procured]]-(ProcurementAllocationData[[#This Row],[Deep Green]]+ProcurementAllocationData[[#This Row],[LocalSol]]+ProcurementAllocationData[[#This Row],[GreenAccess]])</f>
        <v>17331</v>
      </c>
      <c r="T98" s="46"/>
      <c r="U98" s="46"/>
      <c r="V98" s="46"/>
      <c r="W98" s="46"/>
      <c r="X98" s="46"/>
      <c r="Y98" s="112">
        <f t="shared" si="41"/>
        <v>758</v>
      </c>
      <c r="Z98" s="150">
        <f t="shared" si="42"/>
        <v>0</v>
      </c>
      <c r="AA98" s="150">
        <f t="shared" si="43"/>
        <v>758</v>
      </c>
      <c r="AB98" s="113">
        <f t="shared" si="44"/>
        <v>0</v>
      </c>
      <c r="AD98" s="272" t="str">
        <f t="shared" si="45"/>
        <v>MCE Solar One 8.5 - Richmond Chevron 8.5</v>
      </c>
      <c r="AE98" s="273">
        <f t="shared" si="46"/>
        <v>0</v>
      </c>
      <c r="AF98" s="273">
        <f t="shared" si="47"/>
        <v>0</v>
      </c>
      <c r="AG98" s="273">
        <f t="shared" si="48"/>
        <v>0</v>
      </c>
      <c r="AH98" s="273">
        <f t="shared" si="49"/>
        <v>0</v>
      </c>
      <c r="AI98" s="273">
        <f t="shared" si="50"/>
        <v>0</v>
      </c>
      <c r="AJ98" s="273">
        <f t="shared" si="51"/>
        <v>0</v>
      </c>
      <c r="AK98" s="273">
        <f t="shared" si="52"/>
        <v>0</v>
      </c>
      <c r="AL98" s="274">
        <f t="shared" si="53"/>
        <v>0</v>
      </c>
      <c r="AN98" s="75" t="str">
        <f t="shared" si="54"/>
        <v>-</v>
      </c>
      <c r="AO98" s="75" t="str">
        <f t="shared" si="55"/>
        <v>-</v>
      </c>
      <c r="AP98" s="48">
        <f t="shared" si="58"/>
        <v>0</v>
      </c>
      <c r="AQ98" s="48">
        <f t="shared" si="56"/>
        <v>0</v>
      </c>
      <c r="AR98" s="49">
        <f t="shared" si="57"/>
        <v>0</v>
      </c>
    </row>
    <row r="99" spans="1:44" ht="15">
      <c r="A99" s="38" t="s">
        <v>4002</v>
      </c>
      <c r="B99" s="38" t="s">
        <v>29</v>
      </c>
      <c r="C99" s="38" t="s">
        <v>3798</v>
      </c>
      <c r="D99" s="38" t="s">
        <v>4003</v>
      </c>
      <c r="E99" s="38" t="s">
        <v>4004</v>
      </c>
      <c r="F99" s="38">
        <v>57707</v>
      </c>
      <c r="G99" s="47">
        <f t="shared" si="39"/>
        <v>6.5978850116714893E-2</v>
      </c>
      <c r="H99" s="44">
        <v>31857</v>
      </c>
      <c r="I99" s="44"/>
      <c r="J99" s="45">
        <f t="shared" si="38"/>
        <v>31857</v>
      </c>
      <c r="K99" s="38"/>
      <c r="L99" s="38"/>
      <c r="M99" s="38"/>
      <c r="N99" s="34">
        <f>VLOOKUP(F99,'GHG Emissions Factors'!$B$2:$C$4000,2,FALSE)</f>
        <v>0</v>
      </c>
      <c r="O99" s="45">
        <f t="shared" si="40"/>
        <v>0</v>
      </c>
      <c r="P99" s="34">
        <f>IF(L99="yes", 0, _xlfn.XLOOKUP(F99, 'GHG Emissions Factors'!$B$2:$B$4000, 'GHG Emissions Factors'!$D$2:$D$4000, 0))</f>
        <v>0</v>
      </c>
      <c r="Q99" s="46"/>
      <c r="R99" s="46"/>
      <c r="S99" s="46">
        <f>ProcurementAllocationData[[#This Row],[Net MWhs Procured]]-(ProcurementAllocationData[[#This Row],[Deep Green]]+ProcurementAllocationData[[#This Row],[LocalSol]]+ProcurementAllocationData[[#This Row],[GreenAccess]])</f>
        <v>31857</v>
      </c>
      <c r="T99" s="46"/>
      <c r="U99" s="46"/>
      <c r="V99" s="46"/>
      <c r="W99" s="46"/>
      <c r="X99" s="46"/>
      <c r="Y99" s="112">
        <f t="shared" si="41"/>
        <v>2102</v>
      </c>
      <c r="Z99" s="150">
        <f t="shared" si="42"/>
        <v>0</v>
      </c>
      <c r="AA99" s="150">
        <f t="shared" si="43"/>
        <v>2102</v>
      </c>
      <c r="AB99" s="113">
        <f t="shared" si="44"/>
        <v>0</v>
      </c>
      <c r="AD99" s="272" t="str">
        <f t="shared" si="45"/>
        <v>Mesquite Solar 1 (1-3) - Mesquite Solar 1 (1-3)</v>
      </c>
      <c r="AE99" s="273">
        <f t="shared" si="46"/>
        <v>0</v>
      </c>
      <c r="AF99" s="273">
        <f t="shared" si="47"/>
        <v>0</v>
      </c>
      <c r="AG99" s="273">
        <f t="shared" si="48"/>
        <v>0</v>
      </c>
      <c r="AH99" s="273">
        <f t="shared" si="49"/>
        <v>0</v>
      </c>
      <c r="AI99" s="273">
        <f t="shared" si="50"/>
        <v>0</v>
      </c>
      <c r="AJ99" s="273">
        <f t="shared" si="51"/>
        <v>0</v>
      </c>
      <c r="AK99" s="273">
        <f t="shared" si="52"/>
        <v>0</v>
      </c>
      <c r="AL99" s="274">
        <f t="shared" si="53"/>
        <v>0</v>
      </c>
      <c r="AN99" s="75" t="str">
        <f t="shared" si="54"/>
        <v>-</v>
      </c>
      <c r="AO99" s="75" t="str">
        <f t="shared" si="55"/>
        <v>-</v>
      </c>
      <c r="AP99" s="48">
        <f t="shared" si="58"/>
        <v>0</v>
      </c>
      <c r="AQ99" s="48">
        <f t="shared" si="56"/>
        <v>0</v>
      </c>
      <c r="AR99" s="49">
        <f t="shared" si="57"/>
        <v>0</v>
      </c>
    </row>
    <row r="100" spans="1:44" ht="15">
      <c r="A100" s="38" t="s">
        <v>4005</v>
      </c>
      <c r="B100" s="38" t="s">
        <v>30</v>
      </c>
      <c r="C100" s="38" t="s">
        <v>3771</v>
      </c>
      <c r="D100" s="38" t="s">
        <v>4006</v>
      </c>
      <c r="E100" s="38" t="s">
        <v>4007</v>
      </c>
      <c r="F100" s="38">
        <v>57701</v>
      </c>
      <c r="G100" s="47">
        <f t="shared" si="39"/>
        <v>4.3727031303423702E-2</v>
      </c>
      <c r="H100" s="44">
        <v>37557</v>
      </c>
      <c r="I100" s="44"/>
      <c r="J100" s="45">
        <f t="shared" si="38"/>
        <v>37557</v>
      </c>
      <c r="K100" s="38"/>
      <c r="L100" s="38"/>
      <c r="M100" s="38"/>
      <c r="N100" s="34">
        <f>VLOOKUP(F100,'GHG Emissions Factors'!$B$2:$C$4000,2,FALSE)</f>
        <v>0</v>
      </c>
      <c r="O100" s="45">
        <f t="shared" si="40"/>
        <v>0</v>
      </c>
      <c r="P100" s="34">
        <f>IF(L100="yes", 0, _xlfn.XLOOKUP(F100, 'GHG Emissions Factors'!$B$2:$B$4000, 'GHG Emissions Factors'!$D$2:$D$4000, 0))</f>
        <v>0</v>
      </c>
      <c r="Q100" s="46"/>
      <c r="R100" s="46"/>
      <c r="S100" s="46">
        <f>ProcurementAllocationData[[#This Row],[Net MWhs Procured]]-(ProcurementAllocationData[[#This Row],[Deep Green]]+ProcurementAllocationData[[#This Row],[LocalSol]]+ProcurementAllocationData[[#This Row],[GreenAccess]])</f>
        <v>37557</v>
      </c>
      <c r="T100" s="46"/>
      <c r="U100" s="46"/>
      <c r="V100" s="46"/>
      <c r="W100" s="46"/>
      <c r="X100" s="46"/>
      <c r="Y100" s="112">
        <f t="shared" si="41"/>
        <v>1642</v>
      </c>
      <c r="Z100" s="150">
        <f t="shared" si="42"/>
        <v>0</v>
      </c>
      <c r="AA100" s="150">
        <f t="shared" si="43"/>
        <v>1642</v>
      </c>
      <c r="AB100" s="113">
        <f t="shared" si="44"/>
        <v>0</v>
      </c>
      <c r="AD100" s="272" t="str">
        <f t="shared" si="45"/>
        <v>Montezuma Wind II - Nextera Energy Montezuma II Wind</v>
      </c>
      <c r="AE100" s="273">
        <f t="shared" si="46"/>
        <v>0</v>
      </c>
      <c r="AF100" s="273">
        <f t="shared" si="47"/>
        <v>0</v>
      </c>
      <c r="AG100" s="273">
        <f t="shared" si="48"/>
        <v>0</v>
      </c>
      <c r="AH100" s="273">
        <f t="shared" si="49"/>
        <v>0</v>
      </c>
      <c r="AI100" s="273">
        <f t="shared" si="50"/>
        <v>0</v>
      </c>
      <c r="AJ100" s="273">
        <f t="shared" si="51"/>
        <v>0</v>
      </c>
      <c r="AK100" s="273">
        <f t="shared" si="52"/>
        <v>0</v>
      </c>
      <c r="AL100" s="274">
        <f t="shared" si="53"/>
        <v>0</v>
      </c>
      <c r="AN100" s="75" t="str">
        <f t="shared" si="54"/>
        <v>-</v>
      </c>
      <c r="AO100" s="75" t="str">
        <f t="shared" si="55"/>
        <v>-</v>
      </c>
      <c r="AP100" s="48">
        <f t="shared" si="58"/>
        <v>0</v>
      </c>
      <c r="AQ100" s="48">
        <f t="shared" si="56"/>
        <v>0</v>
      </c>
      <c r="AR100" s="49">
        <f t="shared" si="57"/>
        <v>0</v>
      </c>
    </row>
    <row r="101" spans="1:44" ht="15">
      <c r="A101" s="38" t="s">
        <v>4008</v>
      </c>
      <c r="B101" s="38" t="s">
        <v>29</v>
      </c>
      <c r="C101" s="38" t="s">
        <v>3771</v>
      </c>
      <c r="D101" s="38" t="s">
        <v>4009</v>
      </c>
      <c r="E101" s="38" t="s">
        <v>4010</v>
      </c>
      <c r="F101" s="38" t="s">
        <v>3725</v>
      </c>
      <c r="G101" s="47">
        <f t="shared" si="39"/>
        <v>4.3727031303423702E-2</v>
      </c>
      <c r="H101" s="44">
        <v>600</v>
      </c>
      <c r="I101" s="44"/>
      <c r="J101" s="45">
        <f t="shared" si="38"/>
        <v>600</v>
      </c>
      <c r="K101" s="38"/>
      <c r="L101" s="38"/>
      <c r="M101" s="38"/>
      <c r="N101" s="34">
        <f>VLOOKUP(F101,'GHG Emissions Factors'!$B$2:$C$4000,2,FALSE)</f>
        <v>0</v>
      </c>
      <c r="O101" s="45">
        <f t="shared" si="40"/>
        <v>0</v>
      </c>
      <c r="P101" s="34">
        <f>IF(L101="yes", 0, _xlfn.XLOOKUP(F101, 'GHG Emissions Factors'!$B$2:$B$4000, 'GHG Emissions Factors'!$D$2:$D$4000, 0))</f>
        <v>0</v>
      </c>
      <c r="Q101" s="46"/>
      <c r="R101" s="46"/>
      <c r="S101" s="46">
        <f>ProcurementAllocationData[[#This Row],[Net MWhs Procured]]-(ProcurementAllocationData[[#This Row],[Deep Green]]+ProcurementAllocationData[[#This Row],[LocalSol]]+ProcurementAllocationData[[#This Row],[GreenAccess]])</f>
        <v>600</v>
      </c>
      <c r="T101" s="46"/>
      <c r="U101" s="46"/>
      <c r="V101" s="46"/>
      <c r="W101" s="46"/>
      <c r="X101" s="46"/>
      <c r="Y101" s="112">
        <f t="shared" si="41"/>
        <v>26</v>
      </c>
      <c r="Z101" s="150">
        <f t="shared" si="42"/>
        <v>0</v>
      </c>
      <c r="AA101" s="150">
        <f t="shared" si="43"/>
        <v>26</v>
      </c>
      <c r="AB101" s="113">
        <f t="shared" si="44"/>
        <v>0</v>
      </c>
      <c r="AD101" s="272" t="str">
        <f t="shared" si="45"/>
        <v>Napa Self Storage 2</v>
      </c>
      <c r="AE101" s="273">
        <f t="shared" si="46"/>
        <v>0</v>
      </c>
      <c r="AF101" s="273">
        <f t="shared" si="47"/>
        <v>0</v>
      </c>
      <c r="AG101" s="273">
        <f t="shared" si="48"/>
        <v>0</v>
      </c>
      <c r="AH101" s="273">
        <f t="shared" si="49"/>
        <v>0</v>
      </c>
      <c r="AI101" s="273">
        <f t="shared" si="50"/>
        <v>0</v>
      </c>
      <c r="AJ101" s="273">
        <f t="shared" si="51"/>
        <v>0</v>
      </c>
      <c r="AK101" s="273">
        <f t="shared" si="52"/>
        <v>0</v>
      </c>
      <c r="AL101" s="274">
        <f t="shared" si="53"/>
        <v>0</v>
      </c>
      <c r="AN101" s="75" t="str">
        <f t="shared" si="54"/>
        <v>-</v>
      </c>
      <c r="AO101" s="75" t="str">
        <f t="shared" si="55"/>
        <v>-</v>
      </c>
      <c r="AP101" s="48">
        <f t="shared" si="58"/>
        <v>0</v>
      </c>
      <c r="AQ101" s="48">
        <f t="shared" si="56"/>
        <v>0</v>
      </c>
      <c r="AR101" s="49">
        <f t="shared" si="57"/>
        <v>0</v>
      </c>
    </row>
    <row r="102" spans="1:44" ht="15">
      <c r="A102" s="38" t="s">
        <v>4011</v>
      </c>
      <c r="B102" s="38" t="s">
        <v>28</v>
      </c>
      <c r="C102" s="38" t="s">
        <v>3771</v>
      </c>
      <c r="D102" s="38" t="s">
        <v>4012</v>
      </c>
      <c r="E102" s="38" t="s">
        <v>4013</v>
      </c>
      <c r="F102" s="38">
        <v>50546</v>
      </c>
      <c r="G102" s="47">
        <f t="shared" si="39"/>
        <v>4.3727031303423702E-2</v>
      </c>
      <c r="H102" s="44">
        <v>4449</v>
      </c>
      <c r="I102" s="44"/>
      <c r="J102" s="45">
        <f t="shared" si="38"/>
        <v>4449</v>
      </c>
      <c r="K102" s="38"/>
      <c r="L102" s="38"/>
      <c r="M102" s="38"/>
      <c r="N102" s="34">
        <f>VLOOKUP(F102,'GHG Emissions Factors'!$B$2:$C$4000,2,FALSE)</f>
        <v>0</v>
      </c>
      <c r="O102" s="45">
        <f t="shared" si="40"/>
        <v>0</v>
      </c>
      <c r="P102" s="34">
        <f>IF(L102="yes", 0, _xlfn.XLOOKUP(F102, 'GHG Emissions Factors'!$B$2:$B$4000, 'GHG Emissions Factors'!$D$2:$D$4000, 0))</f>
        <v>0</v>
      </c>
      <c r="Q102" s="46"/>
      <c r="R102" s="46"/>
      <c r="S102" s="46">
        <f>ProcurementAllocationData[[#This Row],[Net MWhs Procured]]-(ProcurementAllocationData[[#This Row],[Deep Green]]+ProcurementAllocationData[[#This Row],[LocalSol]]+ProcurementAllocationData[[#This Row],[GreenAccess]])</f>
        <v>4449</v>
      </c>
      <c r="T102" s="46"/>
      <c r="U102" s="46"/>
      <c r="V102" s="46"/>
      <c r="W102" s="46"/>
      <c r="X102" s="46"/>
      <c r="Y102" s="112">
        <f t="shared" si="41"/>
        <v>195</v>
      </c>
      <c r="Z102" s="150">
        <f t="shared" si="42"/>
        <v>0</v>
      </c>
      <c r="AA102" s="150">
        <f t="shared" si="43"/>
        <v>195</v>
      </c>
      <c r="AB102" s="113">
        <f t="shared" si="44"/>
        <v>0</v>
      </c>
      <c r="AD102" s="272" t="str">
        <f t="shared" si="45"/>
        <v>Nevada Irrigation District - Bowman Hydro Project</v>
      </c>
      <c r="AE102" s="273">
        <f t="shared" si="46"/>
        <v>0</v>
      </c>
      <c r="AF102" s="273">
        <f t="shared" si="47"/>
        <v>0</v>
      </c>
      <c r="AG102" s="273">
        <f t="shared" si="48"/>
        <v>0</v>
      </c>
      <c r="AH102" s="273">
        <f t="shared" si="49"/>
        <v>0</v>
      </c>
      <c r="AI102" s="273">
        <f t="shared" si="50"/>
        <v>0</v>
      </c>
      <c r="AJ102" s="273">
        <f t="shared" si="51"/>
        <v>0</v>
      </c>
      <c r="AK102" s="273">
        <f t="shared" si="52"/>
        <v>0</v>
      </c>
      <c r="AL102" s="274">
        <f t="shared" si="53"/>
        <v>0</v>
      </c>
      <c r="AN102" s="75" t="str">
        <f t="shared" si="54"/>
        <v>-</v>
      </c>
      <c r="AO102" s="75" t="str">
        <f t="shared" si="55"/>
        <v>-</v>
      </c>
      <c r="AP102" s="48">
        <f t="shared" si="58"/>
        <v>0</v>
      </c>
      <c r="AQ102" s="48">
        <f t="shared" si="56"/>
        <v>0</v>
      </c>
      <c r="AR102" s="49">
        <f t="shared" si="57"/>
        <v>0</v>
      </c>
    </row>
    <row r="103" spans="1:44" ht="15">
      <c r="A103" s="38" t="s">
        <v>4014</v>
      </c>
      <c r="B103" s="38" t="s">
        <v>28</v>
      </c>
      <c r="C103" s="38" t="s">
        <v>3771</v>
      </c>
      <c r="D103" s="38" t="s">
        <v>4015</v>
      </c>
      <c r="E103" s="38" t="s">
        <v>4016</v>
      </c>
      <c r="F103" s="38">
        <v>632</v>
      </c>
      <c r="G103" s="47">
        <f t="shared" si="39"/>
        <v>4.3727031303423702E-2</v>
      </c>
      <c r="H103" s="44">
        <v>4102</v>
      </c>
      <c r="I103" s="44"/>
      <c r="J103" s="45">
        <f t="shared" si="38"/>
        <v>4102</v>
      </c>
      <c r="K103" s="38"/>
      <c r="L103" s="38"/>
      <c r="M103" s="38"/>
      <c r="N103" s="34">
        <f>VLOOKUP(F103,'GHG Emissions Factors'!$B$2:$C$4000,2,FALSE)</f>
        <v>0</v>
      </c>
      <c r="O103" s="45">
        <f t="shared" si="40"/>
        <v>0</v>
      </c>
      <c r="P103" s="34">
        <f>IF(L103="yes", 0, _xlfn.XLOOKUP(F103, 'GHG Emissions Factors'!$B$2:$B$4000, 'GHG Emissions Factors'!$D$2:$D$4000, 0))</f>
        <v>0</v>
      </c>
      <c r="Q103" s="46"/>
      <c r="R103" s="46"/>
      <c r="S103" s="46">
        <f>ProcurementAllocationData[[#This Row],[Net MWhs Procured]]-(ProcurementAllocationData[[#This Row],[Deep Green]]+ProcurementAllocationData[[#This Row],[LocalSol]]+ProcurementAllocationData[[#This Row],[GreenAccess]])</f>
        <v>4102</v>
      </c>
      <c r="T103" s="46"/>
      <c r="U103" s="46"/>
      <c r="V103" s="46"/>
      <c r="W103" s="46"/>
      <c r="X103" s="46"/>
      <c r="Y103" s="112">
        <f t="shared" si="41"/>
        <v>179</v>
      </c>
      <c r="Z103" s="150">
        <f t="shared" si="42"/>
        <v>0</v>
      </c>
      <c r="AA103" s="150">
        <f t="shared" si="43"/>
        <v>179</v>
      </c>
      <c r="AB103" s="113">
        <f t="shared" si="44"/>
        <v>0</v>
      </c>
      <c r="AD103" s="272" t="str">
        <f t="shared" si="45"/>
        <v>Newcastle Powerhouse - Newcastle Powerhouse</v>
      </c>
      <c r="AE103" s="273">
        <f t="shared" si="46"/>
        <v>0</v>
      </c>
      <c r="AF103" s="273">
        <f t="shared" si="47"/>
        <v>0</v>
      </c>
      <c r="AG103" s="273">
        <f t="shared" si="48"/>
        <v>0</v>
      </c>
      <c r="AH103" s="273">
        <f t="shared" si="49"/>
        <v>0</v>
      </c>
      <c r="AI103" s="273">
        <f t="shared" si="50"/>
        <v>0</v>
      </c>
      <c r="AJ103" s="273">
        <f t="shared" si="51"/>
        <v>0</v>
      </c>
      <c r="AK103" s="273">
        <f t="shared" si="52"/>
        <v>0</v>
      </c>
      <c r="AL103" s="274">
        <f t="shared" si="53"/>
        <v>0</v>
      </c>
      <c r="AN103" s="75" t="str">
        <f t="shared" si="54"/>
        <v>-</v>
      </c>
      <c r="AO103" s="75" t="str">
        <f t="shared" si="55"/>
        <v>-</v>
      </c>
      <c r="AP103" s="48">
        <f t="shared" si="58"/>
        <v>0</v>
      </c>
      <c r="AQ103" s="48">
        <f t="shared" si="56"/>
        <v>0</v>
      </c>
      <c r="AR103" s="49">
        <f t="shared" si="57"/>
        <v>0</v>
      </c>
    </row>
    <row r="104" spans="1:44" ht="15">
      <c r="A104" s="38" t="s">
        <v>4017</v>
      </c>
      <c r="B104" s="38" t="s">
        <v>30</v>
      </c>
      <c r="C104" s="38" t="s">
        <v>3771</v>
      </c>
      <c r="D104" s="38" t="s">
        <v>4018</v>
      </c>
      <c r="E104" s="38" t="s">
        <v>4019</v>
      </c>
      <c r="F104" s="38">
        <v>58154</v>
      </c>
      <c r="G104" s="47">
        <f t="shared" si="39"/>
        <v>4.3727031303423702E-2</v>
      </c>
      <c r="H104" s="44">
        <v>38825</v>
      </c>
      <c r="I104" s="44"/>
      <c r="J104" s="45">
        <f t="shared" si="38"/>
        <v>38825</v>
      </c>
      <c r="K104" s="38"/>
      <c r="L104" s="38"/>
      <c r="M104" s="38"/>
      <c r="N104" s="34">
        <f>VLOOKUP(F104,'GHG Emissions Factors'!$B$2:$C$4000,2,FALSE)</f>
        <v>0</v>
      </c>
      <c r="O104" s="45">
        <f t="shared" si="40"/>
        <v>0</v>
      </c>
      <c r="P104" s="34">
        <f>IF(L104="yes", 0, _xlfn.XLOOKUP(F104, 'GHG Emissions Factors'!$B$2:$B$4000, 'GHG Emissions Factors'!$D$2:$D$4000, 0))</f>
        <v>0</v>
      </c>
      <c r="Q104" s="46"/>
      <c r="R104" s="46"/>
      <c r="S104" s="46">
        <f>ProcurementAllocationData[[#This Row],[Net MWhs Procured]]-(ProcurementAllocationData[[#This Row],[Deep Green]]+ProcurementAllocationData[[#This Row],[LocalSol]]+ProcurementAllocationData[[#This Row],[GreenAccess]])</f>
        <v>38825</v>
      </c>
      <c r="T104" s="46"/>
      <c r="U104" s="46"/>
      <c r="V104" s="46"/>
      <c r="W104" s="46"/>
      <c r="X104" s="46"/>
      <c r="Y104" s="112">
        <f t="shared" si="41"/>
        <v>1698</v>
      </c>
      <c r="Z104" s="150">
        <f t="shared" si="42"/>
        <v>0</v>
      </c>
      <c r="AA104" s="150">
        <f t="shared" si="43"/>
        <v>1698</v>
      </c>
      <c r="AB104" s="113">
        <f t="shared" si="44"/>
        <v>0</v>
      </c>
      <c r="AD104" s="272" t="str">
        <f t="shared" si="45"/>
        <v>North Sky River - North Sky River - Phase I</v>
      </c>
      <c r="AE104" s="273">
        <f t="shared" si="46"/>
        <v>0</v>
      </c>
      <c r="AF104" s="273">
        <f t="shared" si="47"/>
        <v>0</v>
      </c>
      <c r="AG104" s="273">
        <f t="shared" si="48"/>
        <v>0</v>
      </c>
      <c r="AH104" s="273">
        <f t="shared" si="49"/>
        <v>0</v>
      </c>
      <c r="AI104" s="273">
        <f t="shared" si="50"/>
        <v>0</v>
      </c>
      <c r="AJ104" s="273">
        <f t="shared" si="51"/>
        <v>0</v>
      </c>
      <c r="AK104" s="273">
        <f t="shared" si="52"/>
        <v>0</v>
      </c>
      <c r="AL104" s="274">
        <f t="shared" si="53"/>
        <v>0</v>
      </c>
      <c r="AN104" s="75" t="str">
        <f t="shared" si="54"/>
        <v>-</v>
      </c>
      <c r="AO104" s="75" t="str">
        <f t="shared" si="55"/>
        <v>-</v>
      </c>
      <c r="AP104" s="48">
        <f t="shared" si="58"/>
        <v>0</v>
      </c>
      <c r="AQ104" s="48">
        <f t="shared" si="56"/>
        <v>0</v>
      </c>
      <c r="AR104" s="49">
        <f t="shared" si="57"/>
        <v>0</v>
      </c>
    </row>
    <row r="105" spans="1:44" ht="15">
      <c r="A105" s="38" t="s">
        <v>4020</v>
      </c>
      <c r="B105" s="38" t="s">
        <v>29</v>
      </c>
      <c r="C105" s="38" t="s">
        <v>3771</v>
      </c>
      <c r="D105" s="38" t="s">
        <v>4021</v>
      </c>
      <c r="E105" s="38" t="s">
        <v>4022</v>
      </c>
      <c r="F105" s="38">
        <v>59009</v>
      </c>
      <c r="G105" s="47">
        <f t="shared" si="39"/>
        <v>4.3727031303423702E-2</v>
      </c>
      <c r="H105" s="44">
        <v>1487</v>
      </c>
      <c r="I105" s="44"/>
      <c r="J105" s="45">
        <f t="shared" si="38"/>
        <v>1487</v>
      </c>
      <c r="K105" s="38"/>
      <c r="L105" s="38"/>
      <c r="M105" s="38"/>
      <c r="N105" s="34">
        <f>VLOOKUP(F105,'GHG Emissions Factors'!$B$2:$C$4000,2,FALSE)</f>
        <v>0</v>
      </c>
      <c r="O105" s="45">
        <f t="shared" si="40"/>
        <v>0</v>
      </c>
      <c r="P105" s="34">
        <f>IF(L105="yes", 0, _xlfn.XLOOKUP(F105, 'GHG Emissions Factors'!$B$2:$B$4000, 'GHG Emissions Factors'!$D$2:$D$4000, 0))</f>
        <v>0</v>
      </c>
      <c r="Q105" s="46"/>
      <c r="R105" s="46"/>
      <c r="S105" s="46">
        <f>ProcurementAllocationData[[#This Row],[Net MWhs Procured]]-(ProcurementAllocationData[[#This Row],[Deep Green]]+ProcurementAllocationData[[#This Row],[LocalSol]]+ProcurementAllocationData[[#This Row],[GreenAccess]])</f>
        <v>1487</v>
      </c>
      <c r="T105" s="46"/>
      <c r="U105" s="46"/>
      <c r="V105" s="46"/>
      <c r="W105" s="46"/>
      <c r="X105" s="46"/>
      <c r="Y105" s="112">
        <f t="shared" si="41"/>
        <v>65</v>
      </c>
      <c r="Z105" s="150">
        <f t="shared" si="42"/>
        <v>0</v>
      </c>
      <c r="AA105" s="150">
        <f t="shared" si="43"/>
        <v>65</v>
      </c>
      <c r="AB105" s="113">
        <f t="shared" si="44"/>
        <v>0</v>
      </c>
      <c r="AD105" s="272" t="str">
        <f t="shared" si="45"/>
        <v>Oakley Boat RV Storage Phase 2 - Hayworth-Fabian, LLC</v>
      </c>
      <c r="AE105" s="273">
        <f t="shared" si="46"/>
        <v>0</v>
      </c>
      <c r="AF105" s="273">
        <f t="shared" si="47"/>
        <v>0</v>
      </c>
      <c r="AG105" s="273">
        <f t="shared" si="48"/>
        <v>0</v>
      </c>
      <c r="AH105" s="273">
        <f t="shared" si="49"/>
        <v>0</v>
      </c>
      <c r="AI105" s="273">
        <f t="shared" si="50"/>
        <v>0</v>
      </c>
      <c r="AJ105" s="273">
        <f t="shared" si="51"/>
        <v>0</v>
      </c>
      <c r="AK105" s="273">
        <f t="shared" si="52"/>
        <v>0</v>
      </c>
      <c r="AL105" s="274">
        <f t="shared" si="53"/>
        <v>0</v>
      </c>
      <c r="AN105" s="75" t="str">
        <f t="shared" si="54"/>
        <v>-</v>
      </c>
      <c r="AO105" s="75" t="str">
        <f t="shared" si="55"/>
        <v>-</v>
      </c>
      <c r="AP105" s="48">
        <f t="shared" si="58"/>
        <v>0</v>
      </c>
      <c r="AQ105" s="48">
        <f t="shared" si="56"/>
        <v>0</v>
      </c>
      <c r="AR105" s="49">
        <f t="shared" si="57"/>
        <v>0</v>
      </c>
    </row>
    <row r="106" spans="1:44" ht="15">
      <c r="A106" s="38" t="s">
        <v>3706</v>
      </c>
      <c r="B106" s="38" t="s">
        <v>29</v>
      </c>
      <c r="C106" s="38" t="s">
        <v>3771</v>
      </c>
      <c r="D106" s="38" t="s">
        <v>4023</v>
      </c>
      <c r="E106" s="38" t="s">
        <v>4024</v>
      </c>
      <c r="F106" s="38" t="s">
        <v>3707</v>
      </c>
      <c r="G106" s="47">
        <f t="shared" si="39"/>
        <v>4.3727031303423702E-2</v>
      </c>
      <c r="H106" s="44">
        <v>1464</v>
      </c>
      <c r="I106" s="44"/>
      <c r="J106" s="45">
        <f t="shared" si="38"/>
        <v>1464</v>
      </c>
      <c r="K106" s="38"/>
      <c r="L106" s="38"/>
      <c r="M106" s="38"/>
      <c r="N106" s="34">
        <f>VLOOKUP(F106,'GHG Emissions Factors'!$B$2:$C$4000,2,FALSE)</f>
        <v>0</v>
      </c>
      <c r="O106" s="45">
        <f t="shared" si="40"/>
        <v>0</v>
      </c>
      <c r="P106" s="34">
        <f>IF(L106="yes", 0, _xlfn.XLOOKUP(F106, 'GHG Emissions Factors'!$B$2:$B$4000, 'GHG Emissions Factors'!$D$2:$D$4000, 0))</f>
        <v>0</v>
      </c>
      <c r="Q106" s="46"/>
      <c r="R106" s="46"/>
      <c r="S106" s="46">
        <f>ProcurementAllocationData[[#This Row],[Net MWhs Procured]]-(ProcurementAllocationData[[#This Row],[Deep Green]]+ProcurementAllocationData[[#This Row],[LocalSol]]+ProcurementAllocationData[[#This Row],[GreenAccess]])</f>
        <v>1464</v>
      </c>
      <c r="T106" s="46"/>
      <c r="U106" s="46"/>
      <c r="V106" s="46"/>
      <c r="W106" s="46"/>
      <c r="X106" s="46"/>
      <c r="Y106" s="112">
        <f t="shared" si="41"/>
        <v>64</v>
      </c>
      <c r="Z106" s="150">
        <f t="shared" si="42"/>
        <v>0</v>
      </c>
      <c r="AA106" s="150">
        <f t="shared" si="43"/>
        <v>64</v>
      </c>
      <c r="AB106" s="113">
        <f t="shared" si="44"/>
        <v>0</v>
      </c>
      <c r="AD106" s="272" t="str">
        <f t="shared" si="45"/>
        <v>Oakley RV &amp; Boat Storage Phase 3 - Oakley RV &amp; Boat Storage Phase 3</v>
      </c>
      <c r="AE106" s="273">
        <f t="shared" si="46"/>
        <v>0</v>
      </c>
      <c r="AF106" s="273">
        <f t="shared" si="47"/>
        <v>0</v>
      </c>
      <c r="AG106" s="273">
        <f t="shared" si="48"/>
        <v>0</v>
      </c>
      <c r="AH106" s="273">
        <f t="shared" si="49"/>
        <v>0</v>
      </c>
      <c r="AI106" s="273">
        <f t="shared" si="50"/>
        <v>0</v>
      </c>
      <c r="AJ106" s="273">
        <f t="shared" si="51"/>
        <v>0</v>
      </c>
      <c r="AK106" s="273">
        <f t="shared" si="52"/>
        <v>0</v>
      </c>
      <c r="AL106" s="274">
        <f t="shared" si="53"/>
        <v>0</v>
      </c>
      <c r="AN106" s="75" t="str">
        <f t="shared" si="54"/>
        <v>-</v>
      </c>
      <c r="AO106" s="75" t="str">
        <f t="shared" si="55"/>
        <v>-</v>
      </c>
      <c r="AP106" s="48">
        <f t="shared" si="58"/>
        <v>0</v>
      </c>
      <c r="AQ106" s="48">
        <f t="shared" si="56"/>
        <v>0</v>
      </c>
      <c r="AR106" s="49">
        <f t="shared" si="57"/>
        <v>0</v>
      </c>
    </row>
    <row r="107" spans="1:44" ht="15">
      <c r="A107" s="38" t="s">
        <v>4025</v>
      </c>
      <c r="B107" s="38" t="s">
        <v>28</v>
      </c>
      <c r="C107" s="38" t="s">
        <v>3771</v>
      </c>
      <c r="D107" s="38" t="s">
        <v>4026</v>
      </c>
      <c r="E107" s="38" t="s">
        <v>4027</v>
      </c>
      <c r="F107" s="38">
        <v>376</v>
      </c>
      <c r="G107" s="47">
        <f t="shared" si="39"/>
        <v>4.3727031303423702E-2</v>
      </c>
      <c r="H107" s="44">
        <v>14664</v>
      </c>
      <c r="I107" s="44"/>
      <c r="J107" s="45">
        <f t="shared" si="38"/>
        <v>14664</v>
      </c>
      <c r="K107" s="38"/>
      <c r="L107" s="38"/>
      <c r="M107" s="38"/>
      <c r="N107" s="34">
        <f>VLOOKUP(F107,'GHG Emissions Factors'!$B$2:$C$4000,2,FALSE)</f>
        <v>0</v>
      </c>
      <c r="O107" s="45">
        <f t="shared" si="40"/>
        <v>0</v>
      </c>
      <c r="P107" s="34">
        <f>IF(L107="yes", 0, _xlfn.XLOOKUP(F107, 'GHG Emissions Factors'!$B$2:$B$4000, 'GHG Emissions Factors'!$D$2:$D$4000, 0))</f>
        <v>0</v>
      </c>
      <c r="Q107" s="46"/>
      <c r="R107" s="46"/>
      <c r="S107" s="46">
        <f>ProcurementAllocationData[[#This Row],[Net MWhs Procured]]-(ProcurementAllocationData[[#This Row],[Deep Green]]+ProcurementAllocationData[[#This Row],[LocalSol]]+ProcurementAllocationData[[#This Row],[GreenAccess]])</f>
        <v>14664</v>
      </c>
      <c r="T107" s="46"/>
      <c r="U107" s="46"/>
      <c r="V107" s="46"/>
      <c r="W107" s="46"/>
      <c r="X107" s="46"/>
      <c r="Y107" s="112">
        <f t="shared" si="41"/>
        <v>641</v>
      </c>
      <c r="Z107" s="150">
        <f t="shared" si="42"/>
        <v>0</v>
      </c>
      <c r="AA107" s="150">
        <f t="shared" si="43"/>
        <v>641</v>
      </c>
      <c r="AB107" s="113">
        <f t="shared" si="44"/>
        <v>0</v>
      </c>
      <c r="AD107" s="272" t="str">
        <f t="shared" si="45"/>
        <v>Pardee - Pardee 1</v>
      </c>
      <c r="AE107" s="273">
        <f t="shared" si="46"/>
        <v>0</v>
      </c>
      <c r="AF107" s="273">
        <f t="shared" si="47"/>
        <v>0</v>
      </c>
      <c r="AG107" s="273">
        <f t="shared" si="48"/>
        <v>0</v>
      </c>
      <c r="AH107" s="273">
        <f t="shared" si="49"/>
        <v>0</v>
      </c>
      <c r="AI107" s="273">
        <f t="shared" si="50"/>
        <v>0</v>
      </c>
      <c r="AJ107" s="273">
        <f t="shared" si="51"/>
        <v>0</v>
      </c>
      <c r="AK107" s="273">
        <f t="shared" si="52"/>
        <v>0</v>
      </c>
      <c r="AL107" s="274">
        <f t="shared" si="53"/>
        <v>0</v>
      </c>
      <c r="AN107" s="75" t="str">
        <f t="shared" si="54"/>
        <v>-</v>
      </c>
      <c r="AO107" s="75" t="str">
        <f t="shared" si="55"/>
        <v>-</v>
      </c>
      <c r="AP107" s="48">
        <f t="shared" si="58"/>
        <v>0</v>
      </c>
      <c r="AQ107" s="48">
        <f t="shared" si="56"/>
        <v>0</v>
      </c>
      <c r="AR107" s="49">
        <f t="shared" si="57"/>
        <v>0</v>
      </c>
    </row>
    <row r="108" spans="1:44" ht="15">
      <c r="A108" s="38" t="s">
        <v>4028</v>
      </c>
      <c r="B108" s="38" t="s">
        <v>28</v>
      </c>
      <c r="C108" s="38" t="s">
        <v>3771</v>
      </c>
      <c r="D108" s="38" t="s">
        <v>4029</v>
      </c>
      <c r="E108" s="38" t="s">
        <v>4027</v>
      </c>
      <c r="F108" s="38">
        <v>376</v>
      </c>
      <c r="G108" s="47">
        <f t="shared" si="39"/>
        <v>4.3727031303423702E-2</v>
      </c>
      <c r="H108" s="44">
        <v>16092</v>
      </c>
      <c r="I108" s="44"/>
      <c r="J108" s="45">
        <f t="shared" si="38"/>
        <v>16092</v>
      </c>
      <c r="K108" s="38"/>
      <c r="L108" s="38"/>
      <c r="M108" s="38"/>
      <c r="N108" s="34">
        <f>VLOOKUP(F108,'GHG Emissions Factors'!$B$2:$C$4000,2,FALSE)</f>
        <v>0</v>
      </c>
      <c r="O108" s="45">
        <f t="shared" si="40"/>
        <v>0</v>
      </c>
      <c r="P108" s="34">
        <f>IF(L108="yes", 0, _xlfn.XLOOKUP(F108, 'GHG Emissions Factors'!$B$2:$B$4000, 'GHG Emissions Factors'!$D$2:$D$4000, 0))</f>
        <v>0</v>
      </c>
      <c r="Q108" s="46"/>
      <c r="R108" s="46"/>
      <c r="S108" s="46">
        <f>ProcurementAllocationData[[#This Row],[Net MWhs Procured]]-(ProcurementAllocationData[[#This Row],[Deep Green]]+ProcurementAllocationData[[#This Row],[LocalSol]]+ProcurementAllocationData[[#This Row],[GreenAccess]])</f>
        <v>16092</v>
      </c>
      <c r="T108" s="46"/>
      <c r="U108" s="46"/>
      <c r="V108" s="46"/>
      <c r="W108" s="46"/>
      <c r="X108" s="46"/>
      <c r="Y108" s="112">
        <f t="shared" si="41"/>
        <v>704</v>
      </c>
      <c r="Z108" s="150">
        <f t="shared" si="42"/>
        <v>0</v>
      </c>
      <c r="AA108" s="150">
        <f t="shared" si="43"/>
        <v>704</v>
      </c>
      <c r="AB108" s="113">
        <f t="shared" si="44"/>
        <v>0</v>
      </c>
      <c r="AD108" s="272" t="str">
        <f t="shared" si="45"/>
        <v>Pardee - Pardee 2</v>
      </c>
      <c r="AE108" s="273">
        <f t="shared" si="46"/>
        <v>0</v>
      </c>
      <c r="AF108" s="273">
        <f t="shared" si="47"/>
        <v>0</v>
      </c>
      <c r="AG108" s="273">
        <f t="shared" si="48"/>
        <v>0</v>
      </c>
      <c r="AH108" s="273">
        <f t="shared" si="49"/>
        <v>0</v>
      </c>
      <c r="AI108" s="273">
        <f t="shared" si="50"/>
        <v>0</v>
      </c>
      <c r="AJ108" s="273">
        <f t="shared" si="51"/>
        <v>0</v>
      </c>
      <c r="AK108" s="273">
        <f t="shared" si="52"/>
        <v>0</v>
      </c>
      <c r="AL108" s="274">
        <f t="shared" si="53"/>
        <v>0</v>
      </c>
      <c r="AN108" s="75" t="str">
        <f t="shared" si="54"/>
        <v>-</v>
      </c>
      <c r="AO108" s="75" t="str">
        <f t="shared" si="55"/>
        <v>-</v>
      </c>
      <c r="AP108" s="48">
        <f t="shared" si="58"/>
        <v>0</v>
      </c>
      <c r="AQ108" s="48">
        <f t="shared" si="56"/>
        <v>0</v>
      </c>
      <c r="AR108" s="49">
        <f t="shared" si="57"/>
        <v>0</v>
      </c>
    </row>
    <row r="109" spans="1:44" ht="15">
      <c r="A109" s="38" t="s">
        <v>4030</v>
      </c>
      <c r="B109" s="38" t="s">
        <v>28</v>
      </c>
      <c r="C109" s="38" t="s">
        <v>3771</v>
      </c>
      <c r="D109" s="38" t="s">
        <v>4031</v>
      </c>
      <c r="E109" s="38" t="s">
        <v>4027</v>
      </c>
      <c r="F109" s="38">
        <v>376</v>
      </c>
      <c r="G109" s="47">
        <f t="shared" si="39"/>
        <v>4.3727031303423702E-2</v>
      </c>
      <c r="H109" s="44">
        <v>16813</v>
      </c>
      <c r="I109" s="44"/>
      <c r="J109" s="45">
        <f t="shared" si="38"/>
        <v>16813</v>
      </c>
      <c r="K109" s="38"/>
      <c r="L109" s="38"/>
      <c r="M109" s="38"/>
      <c r="N109" s="34">
        <f>VLOOKUP(F109,'GHG Emissions Factors'!$B$2:$C$4000,2,FALSE)</f>
        <v>0</v>
      </c>
      <c r="O109" s="45">
        <f t="shared" si="40"/>
        <v>0</v>
      </c>
      <c r="P109" s="34">
        <f>IF(L109="yes", 0, _xlfn.XLOOKUP(F109, 'GHG Emissions Factors'!$B$2:$B$4000, 'GHG Emissions Factors'!$D$2:$D$4000, 0))</f>
        <v>0</v>
      </c>
      <c r="Q109" s="46"/>
      <c r="R109" s="46"/>
      <c r="S109" s="46">
        <f>ProcurementAllocationData[[#This Row],[Net MWhs Procured]]-(ProcurementAllocationData[[#This Row],[Deep Green]]+ProcurementAllocationData[[#This Row],[LocalSol]]+ProcurementAllocationData[[#This Row],[GreenAccess]])</f>
        <v>16813</v>
      </c>
      <c r="T109" s="46"/>
      <c r="U109" s="46"/>
      <c r="V109" s="46"/>
      <c r="W109" s="46"/>
      <c r="X109" s="46"/>
      <c r="Y109" s="112">
        <f t="shared" si="41"/>
        <v>735</v>
      </c>
      <c r="Z109" s="150">
        <f t="shared" si="42"/>
        <v>0</v>
      </c>
      <c r="AA109" s="150">
        <f t="shared" si="43"/>
        <v>735</v>
      </c>
      <c r="AB109" s="113">
        <f t="shared" si="44"/>
        <v>0</v>
      </c>
      <c r="AD109" s="272" t="str">
        <f t="shared" si="45"/>
        <v>Pardee - Pardee 3</v>
      </c>
      <c r="AE109" s="273">
        <f t="shared" si="46"/>
        <v>0</v>
      </c>
      <c r="AF109" s="273">
        <f t="shared" si="47"/>
        <v>0</v>
      </c>
      <c r="AG109" s="273">
        <f t="shared" si="48"/>
        <v>0</v>
      </c>
      <c r="AH109" s="273">
        <f t="shared" si="49"/>
        <v>0</v>
      </c>
      <c r="AI109" s="273">
        <f t="shared" si="50"/>
        <v>0</v>
      </c>
      <c r="AJ109" s="273">
        <f t="shared" si="51"/>
        <v>0</v>
      </c>
      <c r="AK109" s="273">
        <f t="shared" si="52"/>
        <v>0</v>
      </c>
      <c r="AL109" s="274">
        <f t="shared" si="53"/>
        <v>0</v>
      </c>
      <c r="AN109" s="75" t="str">
        <f t="shared" si="54"/>
        <v>-</v>
      </c>
      <c r="AO109" s="75" t="str">
        <f t="shared" si="55"/>
        <v>-</v>
      </c>
      <c r="AP109" s="48">
        <f t="shared" si="58"/>
        <v>0</v>
      </c>
      <c r="AQ109" s="48">
        <f t="shared" si="56"/>
        <v>0</v>
      </c>
      <c r="AR109" s="49">
        <f t="shared" si="57"/>
        <v>0</v>
      </c>
    </row>
    <row r="110" spans="1:44" ht="15">
      <c r="A110" s="38" t="s">
        <v>4032</v>
      </c>
      <c r="B110" s="38" t="s">
        <v>29</v>
      </c>
      <c r="C110" s="38" t="s">
        <v>3771</v>
      </c>
      <c r="D110" s="38" t="s">
        <v>4033</v>
      </c>
      <c r="E110" s="38" t="s">
        <v>4034</v>
      </c>
      <c r="F110" s="38">
        <v>59150</v>
      </c>
      <c r="G110" s="47">
        <f t="shared" si="39"/>
        <v>4.3727031303423702E-2</v>
      </c>
      <c r="H110" s="44">
        <v>64941</v>
      </c>
      <c r="I110" s="44">
        <v>7303</v>
      </c>
      <c r="J110" s="45">
        <f t="shared" si="38"/>
        <v>57638</v>
      </c>
      <c r="K110" s="38"/>
      <c r="L110" s="38"/>
      <c r="M110" s="38"/>
      <c r="N110" s="34">
        <f>VLOOKUP(F110,'GHG Emissions Factors'!$B$2:$C$4000,2,FALSE)</f>
        <v>0</v>
      </c>
      <c r="O110" s="45">
        <f t="shared" si="40"/>
        <v>0</v>
      </c>
      <c r="P110" s="34">
        <f>IF(L110="yes", 0, _xlfn.XLOOKUP(F110, 'GHG Emissions Factors'!$B$2:$B$4000, 'GHG Emissions Factors'!$D$2:$D$4000, 0))</f>
        <v>0</v>
      </c>
      <c r="Q110" s="46"/>
      <c r="R110" s="46"/>
      <c r="S110" s="46">
        <f>ProcurementAllocationData[[#This Row],[Net MWhs Procured]]-(ProcurementAllocationData[[#This Row],[Deep Green]]+ProcurementAllocationData[[#This Row],[LocalSol]]+ProcurementAllocationData[[#This Row],[GreenAccess]])</f>
        <v>57638</v>
      </c>
      <c r="T110" s="46"/>
      <c r="U110" s="46"/>
      <c r="V110" s="46"/>
      <c r="W110" s="46"/>
      <c r="X110" s="46"/>
      <c r="Y110" s="112">
        <f t="shared" si="41"/>
        <v>2520</v>
      </c>
      <c r="Z110" s="150">
        <f t="shared" si="42"/>
        <v>0</v>
      </c>
      <c r="AA110" s="150">
        <f t="shared" si="43"/>
        <v>2520</v>
      </c>
      <c r="AB110" s="113">
        <f t="shared" si="44"/>
        <v>0</v>
      </c>
      <c r="AD110" s="272" t="str">
        <f t="shared" si="45"/>
        <v>RE Mustang 4 - Mustang 4</v>
      </c>
      <c r="AE110" s="273">
        <f t="shared" si="46"/>
        <v>0</v>
      </c>
      <c r="AF110" s="273">
        <f t="shared" si="47"/>
        <v>0</v>
      </c>
      <c r="AG110" s="273">
        <f t="shared" si="48"/>
        <v>0</v>
      </c>
      <c r="AH110" s="273">
        <f t="shared" si="49"/>
        <v>0</v>
      </c>
      <c r="AI110" s="273">
        <f t="shared" si="50"/>
        <v>0</v>
      </c>
      <c r="AJ110" s="273">
        <f t="shared" si="51"/>
        <v>0</v>
      </c>
      <c r="AK110" s="273">
        <f t="shared" si="52"/>
        <v>0</v>
      </c>
      <c r="AL110" s="274">
        <f t="shared" si="53"/>
        <v>0</v>
      </c>
      <c r="AN110" s="75" t="str">
        <f t="shared" si="54"/>
        <v>-</v>
      </c>
      <c r="AO110" s="75" t="str">
        <f t="shared" si="55"/>
        <v>-</v>
      </c>
      <c r="AP110" s="48">
        <f t="shared" si="58"/>
        <v>0</v>
      </c>
      <c r="AQ110" s="48">
        <f t="shared" si="56"/>
        <v>0</v>
      </c>
      <c r="AR110" s="49">
        <f t="shared" si="57"/>
        <v>0</v>
      </c>
    </row>
    <row r="111" spans="1:44" ht="15">
      <c r="A111" s="38" t="s">
        <v>4035</v>
      </c>
      <c r="B111" s="38" t="s">
        <v>26</v>
      </c>
      <c r="C111" s="38" t="s">
        <v>3771</v>
      </c>
      <c r="D111" s="38" t="s">
        <v>4036</v>
      </c>
      <c r="E111" s="38" t="s">
        <v>4037</v>
      </c>
      <c r="F111" s="38">
        <v>59299</v>
      </c>
      <c r="G111" s="47">
        <f t="shared" si="39"/>
        <v>4.3727031303423702E-2</v>
      </c>
      <c r="H111" s="44">
        <v>21958</v>
      </c>
      <c r="I111" s="44">
        <v>3340</v>
      </c>
      <c r="J111" s="45">
        <f t="shared" si="38"/>
        <v>18618</v>
      </c>
      <c r="K111" s="38"/>
      <c r="L111" s="38"/>
      <c r="M111" s="38"/>
      <c r="N111" s="34">
        <f>VLOOKUP(F111,'GHG Emissions Factors'!$B$2:$C$4000,2,FALSE)</f>
        <v>0.53720000000000001</v>
      </c>
      <c r="O111" s="45">
        <f t="shared" si="40"/>
        <v>10001.589599999999</v>
      </c>
      <c r="P111" s="34">
        <f>IF(L111="yes", 0, _xlfn.XLOOKUP(F111, 'GHG Emissions Factors'!$B$2:$B$4000, 'GHG Emissions Factors'!$D$2:$D$4000, 0))</f>
        <v>2.7000000000000001E-3</v>
      </c>
      <c r="Q111" s="46"/>
      <c r="R111" s="46"/>
      <c r="S111" s="46">
        <f>ProcurementAllocationData[[#This Row],[Net MWhs Procured]]-(ProcurementAllocationData[[#This Row],[Deep Green]]+ProcurementAllocationData[[#This Row],[LocalSol]]+ProcurementAllocationData[[#This Row],[GreenAccess]])</f>
        <v>18618</v>
      </c>
      <c r="T111" s="46"/>
      <c r="U111" s="46"/>
      <c r="V111" s="46"/>
      <c r="W111" s="46"/>
      <c r="X111" s="46"/>
      <c r="Y111" s="112">
        <f t="shared" si="41"/>
        <v>814</v>
      </c>
      <c r="Z111" s="150">
        <f t="shared" si="42"/>
        <v>0</v>
      </c>
      <c r="AA111" s="150">
        <f t="shared" si="43"/>
        <v>814</v>
      </c>
      <c r="AB111" s="113">
        <f t="shared" si="44"/>
        <v>0</v>
      </c>
      <c r="AD111" s="272" t="str">
        <f t="shared" si="45"/>
        <v>Redwood Renewable Energy Facility - Waste Management Landfill Redwood LGGTE</v>
      </c>
      <c r="AE111" s="273">
        <f t="shared" si="46"/>
        <v>0</v>
      </c>
      <c r="AF111" s="273">
        <f t="shared" si="47"/>
        <v>0</v>
      </c>
      <c r="AG111" s="273">
        <f t="shared" si="48"/>
        <v>50.268599999999999</v>
      </c>
      <c r="AH111" s="273">
        <f t="shared" si="49"/>
        <v>0</v>
      </c>
      <c r="AI111" s="273">
        <f t="shared" si="50"/>
        <v>0</v>
      </c>
      <c r="AJ111" s="273">
        <f t="shared" si="51"/>
        <v>0</v>
      </c>
      <c r="AK111" s="273">
        <f t="shared" si="52"/>
        <v>0</v>
      </c>
      <c r="AL111" s="274">
        <f t="shared" si="53"/>
        <v>0</v>
      </c>
      <c r="AN111" s="75" t="str">
        <f t="shared" si="54"/>
        <v>-</v>
      </c>
      <c r="AO111" s="75" t="str">
        <f t="shared" si="55"/>
        <v>-</v>
      </c>
      <c r="AP111" s="48">
        <f t="shared" si="58"/>
        <v>0</v>
      </c>
      <c r="AQ111" s="48">
        <f t="shared" si="56"/>
        <v>0</v>
      </c>
      <c r="AR111" s="49">
        <f t="shared" si="57"/>
        <v>0</v>
      </c>
    </row>
    <row r="112" spans="1:44" ht="15">
      <c r="A112" s="38" t="s">
        <v>4038</v>
      </c>
      <c r="B112" s="38" t="s">
        <v>29</v>
      </c>
      <c r="C112" s="38" t="s">
        <v>3771</v>
      </c>
      <c r="D112" s="38" t="s">
        <v>4039</v>
      </c>
      <c r="E112" s="38" t="s">
        <v>4040</v>
      </c>
      <c r="F112" s="38">
        <v>64489</v>
      </c>
      <c r="G112" s="47">
        <f t="shared" si="39"/>
        <v>4.3727031303423702E-2</v>
      </c>
      <c r="H112" s="44">
        <v>31851</v>
      </c>
      <c r="I112" s="44"/>
      <c r="J112" s="45">
        <f t="shared" si="38"/>
        <v>31851</v>
      </c>
      <c r="K112" s="38"/>
      <c r="L112" s="38"/>
      <c r="M112" s="38"/>
      <c r="N112" s="34">
        <f>VLOOKUP(F112,'GHG Emissions Factors'!$B$2:$C$4000,2,FALSE)</f>
        <v>0</v>
      </c>
      <c r="O112" s="45">
        <f t="shared" si="40"/>
        <v>0</v>
      </c>
      <c r="P112" s="34">
        <f>IF(L112="yes", 0, _xlfn.XLOOKUP(F112, 'GHG Emissions Factors'!$B$2:$B$4000, 'GHG Emissions Factors'!$D$2:$D$4000, 0))</f>
        <v>0</v>
      </c>
      <c r="Q112" s="46"/>
      <c r="R112" s="46"/>
      <c r="S112" s="46">
        <f>ProcurementAllocationData[[#This Row],[Net MWhs Procured]]-(ProcurementAllocationData[[#This Row],[Deep Green]]+ProcurementAllocationData[[#This Row],[LocalSol]]+ProcurementAllocationData[[#This Row],[GreenAccess]])</f>
        <v>31851</v>
      </c>
      <c r="T112" s="46"/>
      <c r="U112" s="46"/>
      <c r="V112" s="46"/>
      <c r="W112" s="46"/>
      <c r="X112" s="46"/>
      <c r="Y112" s="112">
        <f t="shared" si="41"/>
        <v>1393</v>
      </c>
      <c r="Z112" s="150">
        <f t="shared" si="42"/>
        <v>0</v>
      </c>
      <c r="AA112" s="150">
        <f t="shared" si="43"/>
        <v>1393</v>
      </c>
      <c r="AB112" s="113">
        <f t="shared" si="44"/>
        <v>0</v>
      </c>
      <c r="AD112" s="272" t="str">
        <f t="shared" si="45"/>
        <v>Resurgence Solar I, LLC</v>
      </c>
      <c r="AE112" s="273">
        <f t="shared" si="46"/>
        <v>0</v>
      </c>
      <c r="AF112" s="273">
        <f t="shared" si="47"/>
        <v>0</v>
      </c>
      <c r="AG112" s="273">
        <f t="shared" si="48"/>
        <v>0</v>
      </c>
      <c r="AH112" s="273">
        <f t="shared" si="49"/>
        <v>0</v>
      </c>
      <c r="AI112" s="273">
        <f t="shared" si="50"/>
        <v>0</v>
      </c>
      <c r="AJ112" s="273">
        <f t="shared" si="51"/>
        <v>0</v>
      </c>
      <c r="AK112" s="273">
        <f t="shared" si="52"/>
        <v>0</v>
      </c>
      <c r="AL112" s="274">
        <f t="shared" si="53"/>
        <v>0</v>
      </c>
      <c r="AN112" s="75" t="str">
        <f t="shared" si="54"/>
        <v>-</v>
      </c>
      <c r="AO112" s="75" t="str">
        <f t="shared" si="55"/>
        <v>-</v>
      </c>
      <c r="AP112" s="48">
        <f t="shared" si="58"/>
        <v>0</v>
      </c>
      <c r="AQ112" s="48">
        <f t="shared" si="56"/>
        <v>0</v>
      </c>
      <c r="AR112" s="49">
        <f t="shared" si="57"/>
        <v>0</v>
      </c>
    </row>
    <row r="113" spans="1:44" ht="15">
      <c r="A113" s="38" t="s">
        <v>4041</v>
      </c>
      <c r="B113" s="38" t="s">
        <v>30</v>
      </c>
      <c r="C113" s="38" t="s">
        <v>3771</v>
      </c>
      <c r="D113" s="38" t="s">
        <v>4042</v>
      </c>
      <c r="E113" s="38" t="s">
        <v>4043</v>
      </c>
      <c r="F113" s="38">
        <v>59235</v>
      </c>
      <c r="G113" s="47">
        <f t="shared" si="39"/>
        <v>4.3727031303423702E-2</v>
      </c>
      <c r="H113" s="44">
        <v>5435</v>
      </c>
      <c r="I113" s="44"/>
      <c r="J113" s="45">
        <f t="shared" si="38"/>
        <v>5435</v>
      </c>
      <c r="K113" s="38"/>
      <c r="L113" s="38"/>
      <c r="M113" s="38"/>
      <c r="N113" s="34">
        <f>VLOOKUP(F113,'GHG Emissions Factors'!$B$2:$C$4000,2,FALSE)</f>
        <v>0</v>
      </c>
      <c r="O113" s="45">
        <f t="shared" si="40"/>
        <v>0</v>
      </c>
      <c r="P113" s="34">
        <f>IF(L113="yes", 0, _xlfn.XLOOKUP(F113, 'GHG Emissions Factors'!$B$2:$B$4000, 'GHG Emissions Factors'!$D$2:$D$4000, 0))</f>
        <v>0</v>
      </c>
      <c r="Q113" s="46"/>
      <c r="R113" s="46"/>
      <c r="S113" s="46">
        <f>ProcurementAllocationData[[#This Row],[Net MWhs Procured]]-(ProcurementAllocationData[[#This Row],[Deep Green]]+ProcurementAllocationData[[#This Row],[LocalSol]]+ProcurementAllocationData[[#This Row],[GreenAccess]])</f>
        <v>5435</v>
      </c>
      <c r="T113" s="46"/>
      <c r="U113" s="46"/>
      <c r="V113" s="46"/>
      <c r="W113" s="46"/>
      <c r="X113" s="46"/>
      <c r="Y113" s="112">
        <f t="shared" si="41"/>
        <v>238</v>
      </c>
      <c r="Z113" s="150">
        <f t="shared" si="42"/>
        <v>0</v>
      </c>
      <c r="AA113" s="150">
        <f t="shared" si="43"/>
        <v>238</v>
      </c>
      <c r="AB113" s="113">
        <f t="shared" si="44"/>
        <v>0</v>
      </c>
      <c r="AD113" s="272" t="str">
        <f t="shared" si="45"/>
        <v>Rising Tree Wind Farm II LLC - Rising Tree Wind Farm II LLC</v>
      </c>
      <c r="AE113" s="273">
        <f t="shared" si="46"/>
        <v>0</v>
      </c>
      <c r="AF113" s="273">
        <f t="shared" si="47"/>
        <v>0</v>
      </c>
      <c r="AG113" s="273">
        <f t="shared" si="48"/>
        <v>0</v>
      </c>
      <c r="AH113" s="273">
        <f t="shared" si="49"/>
        <v>0</v>
      </c>
      <c r="AI113" s="273">
        <f t="shared" si="50"/>
        <v>0</v>
      </c>
      <c r="AJ113" s="273">
        <f t="shared" si="51"/>
        <v>0</v>
      </c>
      <c r="AK113" s="273">
        <f t="shared" si="52"/>
        <v>0</v>
      </c>
      <c r="AL113" s="274">
        <f t="shared" si="53"/>
        <v>0</v>
      </c>
      <c r="AN113" s="75" t="str">
        <f t="shared" si="54"/>
        <v>-</v>
      </c>
      <c r="AO113" s="75" t="str">
        <f t="shared" si="55"/>
        <v>-</v>
      </c>
      <c r="AP113" s="48">
        <f t="shared" si="58"/>
        <v>0</v>
      </c>
      <c r="AQ113" s="48">
        <f t="shared" si="56"/>
        <v>0</v>
      </c>
      <c r="AR113" s="49">
        <f t="shared" si="57"/>
        <v>0</v>
      </c>
    </row>
    <row r="114" spans="1:44" ht="15">
      <c r="A114" s="38" t="s">
        <v>4044</v>
      </c>
      <c r="B114" s="38" t="s">
        <v>28</v>
      </c>
      <c r="C114" s="38" t="s">
        <v>3771</v>
      </c>
      <c r="D114" s="38" t="s">
        <v>4045</v>
      </c>
      <c r="E114" s="38" t="s">
        <v>4046</v>
      </c>
      <c r="F114" s="38">
        <v>34</v>
      </c>
      <c r="G114" s="47">
        <f t="shared" si="39"/>
        <v>4.3727031303423702E-2</v>
      </c>
      <c r="H114" s="44">
        <v>15882</v>
      </c>
      <c r="I114" s="44"/>
      <c r="J114" s="45">
        <f t="shared" si="38"/>
        <v>15882</v>
      </c>
      <c r="K114" s="38"/>
      <c r="L114" s="38"/>
      <c r="M114" s="38"/>
      <c r="N114" s="34">
        <f>VLOOKUP(F114,'GHG Emissions Factors'!$B$2:$C$4000,2,FALSE)</f>
        <v>0</v>
      </c>
      <c r="O114" s="45">
        <f t="shared" si="40"/>
        <v>0</v>
      </c>
      <c r="P114" s="34">
        <f>IF(L114="yes", 0, _xlfn.XLOOKUP(F114, 'GHG Emissions Factors'!$B$2:$B$4000, 'GHG Emissions Factors'!$D$2:$D$4000, 0))</f>
        <v>0</v>
      </c>
      <c r="Q114" s="46"/>
      <c r="R114" s="46"/>
      <c r="S114" s="46">
        <f>ProcurementAllocationData[[#This Row],[Net MWhs Procured]]-(ProcurementAllocationData[[#This Row],[Deep Green]]+ProcurementAllocationData[[#This Row],[LocalSol]]+ProcurementAllocationData[[#This Row],[GreenAccess]])</f>
        <v>15882</v>
      </c>
      <c r="T114" s="46"/>
      <c r="U114" s="46"/>
      <c r="V114" s="46"/>
      <c r="W114" s="46"/>
      <c r="X114" s="46"/>
      <c r="Y114" s="112">
        <f t="shared" si="41"/>
        <v>694</v>
      </c>
      <c r="Z114" s="150">
        <f t="shared" si="42"/>
        <v>0</v>
      </c>
      <c r="AA114" s="150">
        <f t="shared" si="43"/>
        <v>694</v>
      </c>
      <c r="AB114" s="113">
        <f t="shared" si="44"/>
        <v>0</v>
      </c>
      <c r="AD114" s="272" t="str">
        <f t="shared" si="45"/>
        <v>Rollins Powerhouse - Rollins Powerhouse</v>
      </c>
      <c r="AE114" s="273">
        <f t="shared" si="46"/>
        <v>0</v>
      </c>
      <c r="AF114" s="273">
        <f t="shared" si="47"/>
        <v>0</v>
      </c>
      <c r="AG114" s="273">
        <f t="shared" si="48"/>
        <v>0</v>
      </c>
      <c r="AH114" s="273">
        <f t="shared" si="49"/>
        <v>0</v>
      </c>
      <c r="AI114" s="273">
        <f t="shared" si="50"/>
        <v>0</v>
      </c>
      <c r="AJ114" s="273">
        <f t="shared" si="51"/>
        <v>0</v>
      </c>
      <c r="AK114" s="273">
        <f t="shared" si="52"/>
        <v>0</v>
      </c>
      <c r="AL114" s="274">
        <f t="shared" si="53"/>
        <v>0</v>
      </c>
      <c r="AN114" s="75" t="str">
        <f t="shared" si="54"/>
        <v>-</v>
      </c>
      <c r="AO114" s="75" t="str">
        <f t="shared" si="55"/>
        <v>-</v>
      </c>
      <c r="AP114" s="48">
        <f t="shared" si="58"/>
        <v>0</v>
      </c>
      <c r="AQ114" s="48">
        <f t="shared" si="56"/>
        <v>0</v>
      </c>
      <c r="AR114" s="49">
        <f t="shared" si="57"/>
        <v>0</v>
      </c>
    </row>
    <row r="115" spans="1:44" ht="15">
      <c r="A115" s="38" t="s">
        <v>4047</v>
      </c>
      <c r="B115" s="38" t="s">
        <v>29</v>
      </c>
      <c r="C115" s="38" t="s">
        <v>3771</v>
      </c>
      <c r="D115" s="38" t="s">
        <v>4048</v>
      </c>
      <c r="E115" s="38" t="s">
        <v>4049</v>
      </c>
      <c r="F115" s="38">
        <v>67764</v>
      </c>
      <c r="G115" s="47">
        <f t="shared" si="39"/>
        <v>4.3727031303423702E-2</v>
      </c>
      <c r="H115" s="44">
        <v>206736</v>
      </c>
      <c r="I115" s="44">
        <v>23690</v>
      </c>
      <c r="J115" s="45">
        <f t="shared" si="38"/>
        <v>183046</v>
      </c>
      <c r="K115" s="38"/>
      <c r="L115" s="38"/>
      <c r="M115" s="38"/>
      <c r="N115" s="34">
        <f>VLOOKUP(F115,'GHG Emissions Factors'!$B$2:$C$4000,2,FALSE)</f>
        <v>0</v>
      </c>
      <c r="O115" s="45">
        <f t="shared" si="40"/>
        <v>0</v>
      </c>
      <c r="P115" s="34">
        <f>IF(L115="yes", 0, _xlfn.XLOOKUP(F115, 'GHG Emissions Factors'!$B$2:$B$4000, 'GHG Emissions Factors'!$D$2:$D$4000, 0))</f>
        <v>0</v>
      </c>
      <c r="Q115" s="46"/>
      <c r="R115" s="46"/>
      <c r="S115" s="46">
        <f>ProcurementAllocationData[[#This Row],[Net MWhs Procured]]-(ProcurementAllocationData[[#This Row],[Deep Green]]+ProcurementAllocationData[[#This Row],[LocalSol]]+ProcurementAllocationData[[#This Row],[GreenAccess]])</f>
        <v>183046</v>
      </c>
      <c r="T115" s="46"/>
      <c r="U115" s="46"/>
      <c r="V115" s="46"/>
      <c r="W115" s="46"/>
      <c r="X115" s="46"/>
      <c r="Y115" s="112">
        <f t="shared" si="41"/>
        <v>8004</v>
      </c>
      <c r="Z115" s="150">
        <f t="shared" si="42"/>
        <v>0</v>
      </c>
      <c r="AA115" s="150">
        <f t="shared" si="43"/>
        <v>8004</v>
      </c>
      <c r="AB115" s="113">
        <f t="shared" si="44"/>
        <v>0</v>
      </c>
      <c r="AD115" s="272" t="str">
        <f t="shared" si="45"/>
        <v>Rosie South - MCE</v>
      </c>
      <c r="AE115" s="273">
        <f t="shared" si="46"/>
        <v>0</v>
      </c>
      <c r="AF115" s="273">
        <f t="shared" si="47"/>
        <v>0</v>
      </c>
      <c r="AG115" s="273">
        <f t="shared" si="48"/>
        <v>0</v>
      </c>
      <c r="AH115" s="273">
        <f t="shared" si="49"/>
        <v>0</v>
      </c>
      <c r="AI115" s="273">
        <f t="shared" si="50"/>
        <v>0</v>
      </c>
      <c r="AJ115" s="273">
        <f t="shared" si="51"/>
        <v>0</v>
      </c>
      <c r="AK115" s="273">
        <f t="shared" si="52"/>
        <v>0</v>
      </c>
      <c r="AL115" s="274">
        <f t="shared" si="53"/>
        <v>0</v>
      </c>
      <c r="AN115" s="75" t="str">
        <f t="shared" si="54"/>
        <v>-</v>
      </c>
      <c r="AO115" s="75" t="str">
        <f t="shared" si="55"/>
        <v>-</v>
      </c>
      <c r="AP115" s="48">
        <f t="shared" si="58"/>
        <v>0</v>
      </c>
      <c r="AQ115" s="48">
        <f t="shared" si="56"/>
        <v>0</v>
      </c>
      <c r="AR115" s="49">
        <f t="shared" si="57"/>
        <v>0</v>
      </c>
    </row>
    <row r="116" spans="1:44" ht="15">
      <c r="A116" s="38" t="s">
        <v>4050</v>
      </c>
      <c r="B116" s="38" t="s">
        <v>29</v>
      </c>
      <c r="C116" s="38" t="s">
        <v>3771</v>
      </c>
      <c r="D116" s="38" t="s">
        <v>4051</v>
      </c>
      <c r="E116" s="38" t="s">
        <v>4049</v>
      </c>
      <c r="F116" s="38">
        <v>67764</v>
      </c>
      <c r="G116" s="47">
        <f t="shared" si="39"/>
        <v>4.3727031303423702E-2</v>
      </c>
      <c r="H116" s="44">
        <v>25000</v>
      </c>
      <c r="I116" s="44"/>
      <c r="J116" s="45">
        <f t="shared" ref="J116:J179" si="59">H116-I116</f>
        <v>25000</v>
      </c>
      <c r="K116" s="38"/>
      <c r="L116" s="38"/>
      <c r="M116" s="38"/>
      <c r="N116" s="34">
        <f>VLOOKUP(F116,'GHG Emissions Factors'!$B$2:$C$4000,2,FALSE)</f>
        <v>0</v>
      </c>
      <c r="O116" s="45">
        <f t="shared" si="40"/>
        <v>0</v>
      </c>
      <c r="P116" s="34">
        <f>IF(L116="yes", 0, _xlfn.XLOOKUP(F116, 'GHG Emissions Factors'!$B$2:$B$4000, 'GHG Emissions Factors'!$D$2:$D$4000, 0))</f>
        <v>0</v>
      </c>
      <c r="Q116" s="46"/>
      <c r="R116" s="46"/>
      <c r="S116" s="46">
        <f>ProcurementAllocationData[[#This Row],[Net MWhs Procured]]-(ProcurementAllocationData[[#This Row],[Deep Green]]+ProcurementAllocationData[[#This Row],[LocalSol]]+ProcurementAllocationData[[#This Row],[GreenAccess]])</f>
        <v>25000</v>
      </c>
      <c r="T116" s="46"/>
      <c r="U116" s="46"/>
      <c r="V116" s="46"/>
      <c r="W116" s="46"/>
      <c r="X116" s="46"/>
      <c r="Y116" s="112">
        <f t="shared" si="41"/>
        <v>1093</v>
      </c>
      <c r="Z116" s="150">
        <f t="shared" si="42"/>
        <v>0</v>
      </c>
      <c r="AA116" s="150">
        <f t="shared" si="43"/>
        <v>1093</v>
      </c>
      <c r="AB116" s="113">
        <f t="shared" si="44"/>
        <v>0</v>
      </c>
      <c r="AD116" s="272" t="str">
        <f t="shared" si="45"/>
        <v>Rosie South - Regents</v>
      </c>
      <c r="AE116" s="273">
        <f t="shared" si="46"/>
        <v>0</v>
      </c>
      <c r="AF116" s="273">
        <f t="shared" si="47"/>
        <v>0</v>
      </c>
      <c r="AG116" s="273">
        <f t="shared" si="48"/>
        <v>0</v>
      </c>
      <c r="AH116" s="273">
        <f t="shared" si="49"/>
        <v>0</v>
      </c>
      <c r="AI116" s="273">
        <f t="shared" si="50"/>
        <v>0</v>
      </c>
      <c r="AJ116" s="273">
        <f t="shared" si="51"/>
        <v>0</v>
      </c>
      <c r="AK116" s="273">
        <f t="shared" si="52"/>
        <v>0</v>
      </c>
      <c r="AL116" s="274">
        <f t="shared" si="53"/>
        <v>0</v>
      </c>
      <c r="AN116" s="75" t="str">
        <f t="shared" si="54"/>
        <v>-</v>
      </c>
      <c r="AO116" s="75" t="str">
        <f t="shared" si="55"/>
        <v>-</v>
      </c>
      <c r="AP116" s="48">
        <f t="shared" si="58"/>
        <v>0</v>
      </c>
      <c r="AQ116" s="48">
        <f t="shared" si="56"/>
        <v>0</v>
      </c>
      <c r="AR116" s="49">
        <f t="shared" si="57"/>
        <v>0</v>
      </c>
    </row>
    <row r="117" spans="1:44" ht="15">
      <c r="A117" s="38" t="s">
        <v>4052</v>
      </c>
      <c r="B117" s="38" t="s">
        <v>30</v>
      </c>
      <c r="C117" s="38" t="s">
        <v>3771</v>
      </c>
      <c r="D117" s="38" t="s">
        <v>4053</v>
      </c>
      <c r="E117" s="38" t="s">
        <v>4054</v>
      </c>
      <c r="F117" s="38">
        <v>54454</v>
      </c>
      <c r="G117" s="47">
        <f t="shared" si="39"/>
        <v>4.3727031303423702E-2</v>
      </c>
      <c r="H117" s="44">
        <v>34385</v>
      </c>
      <c r="I117" s="44"/>
      <c r="J117" s="45">
        <f t="shared" si="59"/>
        <v>34385</v>
      </c>
      <c r="K117" s="38"/>
      <c r="L117" s="38"/>
      <c r="M117" s="38"/>
      <c r="N117" s="34">
        <f>VLOOKUP(F117,'GHG Emissions Factors'!$B$2:$C$4000,2,FALSE)</f>
        <v>0</v>
      </c>
      <c r="O117" s="45">
        <f t="shared" si="40"/>
        <v>0</v>
      </c>
      <c r="P117" s="34">
        <f>IF(L117="yes", 0, _xlfn.XLOOKUP(F117, 'GHG Emissions Factors'!$B$2:$B$4000, 'GHG Emissions Factors'!$D$2:$D$4000, 0))</f>
        <v>0</v>
      </c>
      <c r="Q117" s="46"/>
      <c r="R117" s="46"/>
      <c r="S117" s="46">
        <f>ProcurementAllocationData[[#This Row],[Net MWhs Procured]]-(ProcurementAllocationData[[#This Row],[Deep Green]]+ProcurementAllocationData[[#This Row],[LocalSol]]+ProcurementAllocationData[[#This Row],[GreenAccess]])</f>
        <v>34385</v>
      </c>
      <c r="T117" s="46"/>
      <c r="U117" s="46"/>
      <c r="V117" s="46"/>
      <c r="W117" s="46"/>
      <c r="X117" s="46"/>
      <c r="Y117" s="112">
        <f t="shared" si="41"/>
        <v>1504</v>
      </c>
      <c r="Z117" s="150">
        <f t="shared" si="42"/>
        <v>0</v>
      </c>
      <c r="AA117" s="150">
        <f t="shared" si="43"/>
        <v>1504</v>
      </c>
      <c r="AB117" s="113">
        <f t="shared" si="44"/>
        <v>0</v>
      </c>
      <c r="AD117" s="272" t="str">
        <f t="shared" si="45"/>
        <v>San Gorgonio Windplant WPP1993 - Aldrich</v>
      </c>
      <c r="AE117" s="273">
        <f t="shared" si="46"/>
        <v>0</v>
      </c>
      <c r="AF117" s="273">
        <f t="shared" si="47"/>
        <v>0</v>
      </c>
      <c r="AG117" s="273">
        <f t="shared" si="48"/>
        <v>0</v>
      </c>
      <c r="AH117" s="273">
        <f t="shared" si="49"/>
        <v>0</v>
      </c>
      <c r="AI117" s="273">
        <f t="shared" si="50"/>
        <v>0</v>
      </c>
      <c r="AJ117" s="273">
        <f t="shared" si="51"/>
        <v>0</v>
      </c>
      <c r="AK117" s="273">
        <f t="shared" si="52"/>
        <v>0</v>
      </c>
      <c r="AL117" s="274">
        <f t="shared" si="53"/>
        <v>0</v>
      </c>
      <c r="AN117" s="75" t="str">
        <f t="shared" si="54"/>
        <v>-</v>
      </c>
      <c r="AO117" s="75" t="str">
        <f t="shared" si="55"/>
        <v>-</v>
      </c>
      <c r="AP117" s="48">
        <f t="shared" si="58"/>
        <v>0</v>
      </c>
      <c r="AQ117" s="48">
        <f t="shared" si="56"/>
        <v>0</v>
      </c>
      <c r="AR117" s="49">
        <f t="shared" si="57"/>
        <v>0</v>
      </c>
    </row>
    <row r="118" spans="1:44" ht="15">
      <c r="A118" s="38" t="s">
        <v>4055</v>
      </c>
      <c r="B118" s="38" t="s">
        <v>30</v>
      </c>
      <c r="C118" s="38" t="s">
        <v>3771</v>
      </c>
      <c r="D118" s="38" t="s">
        <v>4056</v>
      </c>
      <c r="E118" s="38" t="s">
        <v>4057</v>
      </c>
      <c r="F118" s="38">
        <v>54454</v>
      </c>
      <c r="G118" s="47">
        <f t="shared" si="39"/>
        <v>4.3727031303423702E-2</v>
      </c>
      <c r="H118" s="44">
        <v>22923</v>
      </c>
      <c r="I118" s="44"/>
      <c r="J118" s="45">
        <f t="shared" si="59"/>
        <v>22923</v>
      </c>
      <c r="K118" s="38"/>
      <c r="L118" s="38"/>
      <c r="M118" s="38"/>
      <c r="N118" s="34">
        <f>VLOOKUP(F118,'GHG Emissions Factors'!$B$2:$C$4000,2,FALSE)</f>
        <v>0</v>
      </c>
      <c r="O118" s="45">
        <f t="shared" si="40"/>
        <v>0</v>
      </c>
      <c r="P118" s="34">
        <f>IF(L118="yes", 0, _xlfn.XLOOKUP(F118, 'GHG Emissions Factors'!$B$2:$B$4000, 'GHG Emissions Factors'!$D$2:$D$4000, 0))</f>
        <v>0</v>
      </c>
      <c r="Q118" s="46"/>
      <c r="R118" s="46"/>
      <c r="S118" s="46">
        <f>ProcurementAllocationData[[#This Row],[Net MWhs Procured]]-(ProcurementAllocationData[[#This Row],[Deep Green]]+ProcurementAllocationData[[#This Row],[LocalSol]]+ProcurementAllocationData[[#This Row],[GreenAccess]])</f>
        <v>22923</v>
      </c>
      <c r="T118" s="46"/>
      <c r="U118" s="46"/>
      <c r="V118" s="46"/>
      <c r="W118" s="46"/>
      <c r="X118" s="46"/>
      <c r="Y118" s="112">
        <f t="shared" si="41"/>
        <v>1002</v>
      </c>
      <c r="Z118" s="150">
        <f t="shared" si="42"/>
        <v>0</v>
      </c>
      <c r="AA118" s="150">
        <f t="shared" si="43"/>
        <v>1002</v>
      </c>
      <c r="AB118" s="113">
        <f t="shared" si="44"/>
        <v>0</v>
      </c>
      <c r="AD118" s="272" t="str">
        <f t="shared" si="45"/>
        <v>San Gorgonio Windplant WPP1993 - Carter</v>
      </c>
      <c r="AE118" s="273">
        <f t="shared" si="46"/>
        <v>0</v>
      </c>
      <c r="AF118" s="273">
        <f t="shared" si="47"/>
        <v>0</v>
      </c>
      <c r="AG118" s="273">
        <f t="shared" si="48"/>
        <v>0</v>
      </c>
      <c r="AH118" s="273">
        <f t="shared" si="49"/>
        <v>0</v>
      </c>
      <c r="AI118" s="273">
        <f t="shared" si="50"/>
        <v>0</v>
      </c>
      <c r="AJ118" s="273">
        <f t="shared" si="51"/>
        <v>0</v>
      </c>
      <c r="AK118" s="273">
        <f t="shared" si="52"/>
        <v>0</v>
      </c>
      <c r="AL118" s="274">
        <f t="shared" si="53"/>
        <v>0</v>
      </c>
      <c r="AN118" s="75" t="str">
        <f t="shared" si="54"/>
        <v>-</v>
      </c>
      <c r="AO118" s="75" t="str">
        <f t="shared" si="55"/>
        <v>-</v>
      </c>
      <c r="AP118" s="48">
        <f t="shared" si="58"/>
        <v>0</v>
      </c>
      <c r="AQ118" s="48">
        <f t="shared" si="56"/>
        <v>0</v>
      </c>
      <c r="AR118" s="49">
        <f t="shared" si="57"/>
        <v>0</v>
      </c>
    </row>
    <row r="119" spans="1:44" ht="15">
      <c r="A119" s="38" t="s">
        <v>4058</v>
      </c>
      <c r="B119" s="38" t="s">
        <v>30</v>
      </c>
      <c r="C119" s="38" t="s">
        <v>3771</v>
      </c>
      <c r="D119" s="38" t="s">
        <v>4059</v>
      </c>
      <c r="E119" s="38" t="s">
        <v>4060</v>
      </c>
      <c r="F119" s="38">
        <v>54454</v>
      </c>
      <c r="G119" s="47">
        <f t="shared" si="39"/>
        <v>4.3727031303423702E-2</v>
      </c>
      <c r="H119" s="44">
        <v>48054</v>
      </c>
      <c r="I119" s="44"/>
      <c r="J119" s="45">
        <f t="shared" si="59"/>
        <v>48054</v>
      </c>
      <c r="K119" s="38"/>
      <c r="L119" s="38"/>
      <c r="M119" s="38"/>
      <c r="N119" s="34">
        <f>VLOOKUP(F119,'GHG Emissions Factors'!$B$2:$C$4000,2,FALSE)</f>
        <v>0</v>
      </c>
      <c r="O119" s="45">
        <f t="shared" si="40"/>
        <v>0</v>
      </c>
      <c r="P119" s="34">
        <f>IF(L119="yes", 0, _xlfn.XLOOKUP(F119, 'GHG Emissions Factors'!$B$2:$B$4000, 'GHG Emissions Factors'!$D$2:$D$4000, 0))</f>
        <v>0</v>
      </c>
      <c r="Q119" s="46"/>
      <c r="R119" s="46"/>
      <c r="S119" s="46">
        <f>ProcurementAllocationData[[#This Row],[Net MWhs Procured]]-(ProcurementAllocationData[[#This Row],[Deep Green]]+ProcurementAllocationData[[#This Row],[LocalSol]]+ProcurementAllocationData[[#This Row],[GreenAccess]])</f>
        <v>48054</v>
      </c>
      <c r="T119" s="46"/>
      <c r="U119" s="46"/>
      <c r="V119" s="46"/>
      <c r="W119" s="46"/>
      <c r="X119" s="46"/>
      <c r="Y119" s="112">
        <f t="shared" si="41"/>
        <v>2101</v>
      </c>
      <c r="Z119" s="150">
        <f t="shared" si="42"/>
        <v>0</v>
      </c>
      <c r="AA119" s="150">
        <f t="shared" si="43"/>
        <v>2101</v>
      </c>
      <c r="AB119" s="113">
        <f t="shared" si="44"/>
        <v>0</v>
      </c>
      <c r="AD119" s="272" t="str">
        <f t="shared" si="45"/>
        <v>San Gorgonio Windplant WPP1993 - Renwind</v>
      </c>
      <c r="AE119" s="273">
        <f t="shared" si="46"/>
        <v>0</v>
      </c>
      <c r="AF119" s="273">
        <f t="shared" si="47"/>
        <v>0</v>
      </c>
      <c r="AG119" s="273">
        <f t="shared" si="48"/>
        <v>0</v>
      </c>
      <c r="AH119" s="273">
        <f t="shared" si="49"/>
        <v>0</v>
      </c>
      <c r="AI119" s="273">
        <f t="shared" si="50"/>
        <v>0</v>
      </c>
      <c r="AJ119" s="273">
        <f t="shared" si="51"/>
        <v>0</v>
      </c>
      <c r="AK119" s="273">
        <f t="shared" si="52"/>
        <v>0</v>
      </c>
      <c r="AL119" s="274">
        <f t="shared" si="53"/>
        <v>0</v>
      </c>
      <c r="AN119" s="75" t="str">
        <f t="shared" si="54"/>
        <v>-</v>
      </c>
      <c r="AO119" s="75" t="str">
        <f t="shared" si="55"/>
        <v>-</v>
      </c>
      <c r="AP119" s="48">
        <f t="shared" si="58"/>
        <v>0</v>
      </c>
      <c r="AQ119" s="48">
        <f t="shared" si="56"/>
        <v>0</v>
      </c>
      <c r="AR119" s="49">
        <f t="shared" si="57"/>
        <v>0</v>
      </c>
    </row>
    <row r="120" spans="1:44" ht="15">
      <c r="A120" s="38" t="s">
        <v>4061</v>
      </c>
      <c r="B120" s="38" t="s">
        <v>30</v>
      </c>
      <c r="C120" s="38" t="s">
        <v>3771</v>
      </c>
      <c r="D120" s="38" t="s">
        <v>4062</v>
      </c>
      <c r="E120" s="38" t="s">
        <v>4063</v>
      </c>
      <c r="F120" s="38">
        <v>54454</v>
      </c>
      <c r="G120" s="47">
        <f t="shared" si="39"/>
        <v>4.3727031303423702E-2</v>
      </c>
      <c r="H120" s="44">
        <v>28654</v>
      </c>
      <c r="I120" s="44"/>
      <c r="J120" s="45">
        <f t="shared" si="59"/>
        <v>28654</v>
      </c>
      <c r="K120" s="38"/>
      <c r="L120" s="38"/>
      <c r="M120" s="38"/>
      <c r="N120" s="34">
        <f>VLOOKUP(F120,'GHG Emissions Factors'!$B$2:$C$4000,2,FALSE)</f>
        <v>0</v>
      </c>
      <c r="O120" s="45">
        <f t="shared" si="40"/>
        <v>0</v>
      </c>
      <c r="P120" s="34">
        <f>IF(L120="yes", 0, _xlfn.XLOOKUP(F120, 'GHG Emissions Factors'!$B$2:$B$4000, 'GHG Emissions Factors'!$D$2:$D$4000, 0))</f>
        <v>0</v>
      </c>
      <c r="Q120" s="46"/>
      <c r="R120" s="46"/>
      <c r="S120" s="46">
        <f>ProcurementAllocationData[[#This Row],[Net MWhs Procured]]-(ProcurementAllocationData[[#This Row],[Deep Green]]+ProcurementAllocationData[[#This Row],[LocalSol]]+ProcurementAllocationData[[#This Row],[GreenAccess]])</f>
        <v>28654</v>
      </c>
      <c r="T120" s="46"/>
      <c r="U120" s="46"/>
      <c r="V120" s="46"/>
      <c r="W120" s="46"/>
      <c r="X120" s="46"/>
      <c r="Y120" s="112">
        <f t="shared" si="41"/>
        <v>1253</v>
      </c>
      <c r="Z120" s="150">
        <f t="shared" si="42"/>
        <v>0</v>
      </c>
      <c r="AA120" s="150">
        <f t="shared" si="43"/>
        <v>1253</v>
      </c>
      <c r="AB120" s="113">
        <f t="shared" si="44"/>
        <v>0</v>
      </c>
      <c r="AD120" s="272" t="str">
        <f t="shared" si="45"/>
        <v>San Gorgonio Windplant WPP1993 - Triad</v>
      </c>
      <c r="AE120" s="273">
        <f t="shared" si="46"/>
        <v>0</v>
      </c>
      <c r="AF120" s="273">
        <f t="shared" si="47"/>
        <v>0</v>
      </c>
      <c r="AG120" s="273">
        <f t="shared" si="48"/>
        <v>0</v>
      </c>
      <c r="AH120" s="273">
        <f t="shared" si="49"/>
        <v>0</v>
      </c>
      <c r="AI120" s="273">
        <f t="shared" si="50"/>
        <v>0</v>
      </c>
      <c r="AJ120" s="273">
        <f t="shared" si="51"/>
        <v>0</v>
      </c>
      <c r="AK120" s="273">
        <f t="shared" si="52"/>
        <v>0</v>
      </c>
      <c r="AL120" s="274">
        <f t="shared" si="53"/>
        <v>0</v>
      </c>
      <c r="AN120" s="75" t="str">
        <f t="shared" si="54"/>
        <v>-</v>
      </c>
      <c r="AO120" s="75" t="str">
        <f t="shared" si="55"/>
        <v>-</v>
      </c>
      <c r="AP120" s="48">
        <f t="shared" si="58"/>
        <v>0</v>
      </c>
      <c r="AQ120" s="48">
        <f t="shared" si="56"/>
        <v>0</v>
      </c>
      <c r="AR120" s="49">
        <f t="shared" si="57"/>
        <v>0</v>
      </c>
    </row>
    <row r="121" spans="1:44" ht="15">
      <c r="A121" s="38" t="s">
        <v>4064</v>
      </c>
      <c r="B121" s="38" t="s">
        <v>28</v>
      </c>
      <c r="C121" s="38" t="s">
        <v>3771</v>
      </c>
      <c r="D121" s="38" t="s">
        <v>4065</v>
      </c>
      <c r="E121" s="38" t="s">
        <v>4066</v>
      </c>
      <c r="F121" s="38">
        <v>278</v>
      </c>
      <c r="G121" s="47">
        <f t="shared" si="39"/>
        <v>4.3727031303423702E-2</v>
      </c>
      <c r="H121" s="44">
        <v>211</v>
      </c>
      <c r="I121" s="44"/>
      <c r="J121" s="45">
        <f t="shared" si="59"/>
        <v>211</v>
      </c>
      <c r="K121" s="38"/>
      <c r="L121" s="38"/>
      <c r="M121" s="38"/>
      <c r="N121" s="34">
        <f>VLOOKUP(F121,'GHG Emissions Factors'!$B$2:$C$4000,2,FALSE)</f>
        <v>0</v>
      </c>
      <c r="O121" s="45">
        <f t="shared" si="40"/>
        <v>0</v>
      </c>
      <c r="P121" s="34">
        <f>IF(L121="yes", 0, _xlfn.XLOOKUP(F121, 'GHG Emissions Factors'!$B$2:$B$4000, 'GHG Emissions Factors'!$D$2:$D$4000, 0))</f>
        <v>0</v>
      </c>
      <c r="Q121" s="46"/>
      <c r="R121" s="46"/>
      <c r="S121" s="46">
        <f>ProcurementAllocationData[[#This Row],[Net MWhs Procured]]-(ProcurementAllocationData[[#This Row],[Deep Green]]+ProcurementAllocationData[[#This Row],[LocalSol]]+ProcurementAllocationData[[#This Row],[GreenAccess]])</f>
        <v>211</v>
      </c>
      <c r="T121" s="46"/>
      <c r="U121" s="46"/>
      <c r="V121" s="46"/>
      <c r="W121" s="46"/>
      <c r="X121" s="46"/>
      <c r="Y121" s="112">
        <f t="shared" si="41"/>
        <v>9</v>
      </c>
      <c r="Z121" s="150">
        <f t="shared" si="42"/>
        <v>0</v>
      </c>
      <c r="AA121" s="150">
        <f t="shared" si="43"/>
        <v>9</v>
      </c>
      <c r="AB121" s="113">
        <f t="shared" si="44"/>
        <v>0</v>
      </c>
      <c r="AD121" s="272" t="str">
        <f t="shared" si="45"/>
        <v>San Joaquin No. 1-A Powerhouse - San Joaquin No. 1-A Powerhouse</v>
      </c>
      <c r="AE121" s="273">
        <f t="shared" si="46"/>
        <v>0</v>
      </c>
      <c r="AF121" s="273">
        <f t="shared" si="47"/>
        <v>0</v>
      </c>
      <c r="AG121" s="273">
        <f t="shared" si="48"/>
        <v>0</v>
      </c>
      <c r="AH121" s="273">
        <f t="shared" si="49"/>
        <v>0</v>
      </c>
      <c r="AI121" s="273">
        <f t="shared" si="50"/>
        <v>0</v>
      </c>
      <c r="AJ121" s="273">
        <f t="shared" si="51"/>
        <v>0</v>
      </c>
      <c r="AK121" s="273">
        <f t="shared" si="52"/>
        <v>0</v>
      </c>
      <c r="AL121" s="274">
        <f t="shared" si="53"/>
        <v>0</v>
      </c>
      <c r="AN121" s="75" t="str">
        <f t="shared" si="54"/>
        <v>-</v>
      </c>
      <c r="AO121" s="75" t="str">
        <f t="shared" si="55"/>
        <v>-</v>
      </c>
      <c r="AP121" s="48">
        <f t="shared" si="58"/>
        <v>0</v>
      </c>
      <c r="AQ121" s="48">
        <f t="shared" si="56"/>
        <v>0</v>
      </c>
      <c r="AR121" s="49">
        <f t="shared" si="57"/>
        <v>0</v>
      </c>
    </row>
    <row r="122" spans="1:44" ht="15">
      <c r="A122" s="38" t="s">
        <v>4067</v>
      </c>
      <c r="B122" s="38" t="s">
        <v>29</v>
      </c>
      <c r="C122" s="38" t="s">
        <v>3771</v>
      </c>
      <c r="D122" s="38" t="s">
        <v>4068</v>
      </c>
      <c r="E122" s="38" t="s">
        <v>4069</v>
      </c>
      <c r="F122" s="38" t="s">
        <v>3459</v>
      </c>
      <c r="G122" s="47">
        <f t="shared" si="39"/>
        <v>4.3727031303423702E-2</v>
      </c>
      <c r="H122" s="44">
        <v>1316</v>
      </c>
      <c r="I122" s="44"/>
      <c r="J122" s="45">
        <f t="shared" si="59"/>
        <v>1316</v>
      </c>
      <c r="K122" s="38"/>
      <c r="L122" s="38"/>
      <c r="M122" s="38"/>
      <c r="N122" s="34">
        <f>VLOOKUP(F122,'GHG Emissions Factors'!$B$2:$C$4000,2,FALSE)</f>
        <v>0</v>
      </c>
      <c r="O122" s="45">
        <f t="shared" si="40"/>
        <v>0</v>
      </c>
      <c r="P122" s="34">
        <f>IF(L122="yes", 0, _xlfn.XLOOKUP(F122, 'GHG Emissions Factors'!$B$2:$B$4000, 'GHG Emissions Factors'!$D$2:$D$4000, 0))</f>
        <v>0</v>
      </c>
      <c r="Q122" s="46"/>
      <c r="R122" s="46"/>
      <c r="S122" s="46">
        <f>ProcurementAllocationData[[#This Row],[Net MWhs Procured]]-(ProcurementAllocationData[[#This Row],[Deep Green]]+ProcurementAllocationData[[#This Row],[LocalSol]]+ProcurementAllocationData[[#This Row],[GreenAccess]])</f>
        <v>1316</v>
      </c>
      <c r="T122" s="46"/>
      <c r="U122" s="46"/>
      <c r="V122" s="46"/>
      <c r="W122" s="46"/>
      <c r="X122" s="46"/>
      <c r="Y122" s="112">
        <f t="shared" si="41"/>
        <v>58</v>
      </c>
      <c r="Z122" s="150">
        <f t="shared" si="42"/>
        <v>0</v>
      </c>
      <c r="AA122" s="150">
        <f t="shared" si="43"/>
        <v>58</v>
      </c>
      <c r="AB122" s="113">
        <f t="shared" si="44"/>
        <v>0</v>
      </c>
      <c r="AD122" s="272" t="str">
        <f t="shared" si="45"/>
        <v>San Rafael Airport - San Rafael Airport</v>
      </c>
      <c r="AE122" s="273">
        <f t="shared" si="46"/>
        <v>0</v>
      </c>
      <c r="AF122" s="273">
        <f t="shared" si="47"/>
        <v>0</v>
      </c>
      <c r="AG122" s="273">
        <f t="shared" si="48"/>
        <v>0</v>
      </c>
      <c r="AH122" s="273">
        <f t="shared" si="49"/>
        <v>0</v>
      </c>
      <c r="AI122" s="273">
        <f t="shared" si="50"/>
        <v>0</v>
      </c>
      <c r="AJ122" s="273">
        <f t="shared" si="51"/>
        <v>0</v>
      </c>
      <c r="AK122" s="273">
        <f t="shared" si="52"/>
        <v>0</v>
      </c>
      <c r="AL122" s="274">
        <f t="shared" si="53"/>
        <v>0</v>
      </c>
      <c r="AN122" s="75" t="str">
        <f t="shared" si="54"/>
        <v>-</v>
      </c>
      <c r="AO122" s="75" t="str">
        <f t="shared" si="55"/>
        <v>-</v>
      </c>
      <c r="AP122" s="48">
        <f t="shared" si="58"/>
        <v>0</v>
      </c>
      <c r="AQ122" s="48">
        <f t="shared" si="56"/>
        <v>0</v>
      </c>
      <c r="AR122" s="49">
        <f t="shared" si="57"/>
        <v>0</v>
      </c>
    </row>
    <row r="123" spans="1:44" ht="15">
      <c r="A123" s="38" t="s">
        <v>4070</v>
      </c>
      <c r="B123" s="38" t="s">
        <v>29</v>
      </c>
      <c r="C123" s="38" t="s">
        <v>3771</v>
      </c>
      <c r="D123" s="38" t="s">
        <v>4071</v>
      </c>
      <c r="E123" s="38" t="s">
        <v>4072</v>
      </c>
      <c r="F123" s="38" t="s">
        <v>3461</v>
      </c>
      <c r="G123" s="47">
        <f t="shared" si="39"/>
        <v>4.3727031303423702E-2</v>
      </c>
      <c r="H123" s="44">
        <v>1578</v>
      </c>
      <c r="I123" s="44"/>
      <c r="J123" s="45">
        <f t="shared" si="59"/>
        <v>1578</v>
      </c>
      <c r="K123" s="38"/>
      <c r="L123" s="38"/>
      <c r="M123" s="38"/>
      <c r="N123" s="34">
        <f>VLOOKUP(F123,'GHG Emissions Factors'!$B$2:$C$4000,2,FALSE)</f>
        <v>0</v>
      </c>
      <c r="O123" s="45">
        <f t="shared" si="40"/>
        <v>0</v>
      </c>
      <c r="P123" s="34">
        <f>IF(L123="yes", 0, _xlfn.XLOOKUP(F123, 'GHG Emissions Factors'!$B$2:$B$4000, 'GHG Emissions Factors'!$D$2:$D$4000, 0))</f>
        <v>0</v>
      </c>
      <c r="Q123" s="46"/>
      <c r="R123" s="46"/>
      <c r="S123" s="46">
        <f>ProcurementAllocationData[[#This Row],[Net MWhs Procured]]-(ProcurementAllocationData[[#This Row],[Deep Green]]+ProcurementAllocationData[[#This Row],[LocalSol]]+ProcurementAllocationData[[#This Row],[GreenAccess]])</f>
        <v>1578</v>
      </c>
      <c r="T123" s="46"/>
      <c r="U123" s="46"/>
      <c r="V123" s="46"/>
      <c r="W123" s="46"/>
      <c r="X123" s="46"/>
      <c r="Y123" s="112">
        <f t="shared" si="41"/>
        <v>69</v>
      </c>
      <c r="Z123" s="150">
        <f t="shared" si="42"/>
        <v>0</v>
      </c>
      <c r="AA123" s="150">
        <f t="shared" si="43"/>
        <v>69</v>
      </c>
      <c r="AB123" s="113">
        <f t="shared" si="44"/>
        <v>0</v>
      </c>
      <c r="AD123" s="272" t="str">
        <f t="shared" si="45"/>
        <v>San Rafael Airport II - San Rafael Airport II</v>
      </c>
      <c r="AE123" s="273">
        <f t="shared" si="46"/>
        <v>0</v>
      </c>
      <c r="AF123" s="273">
        <f t="shared" si="47"/>
        <v>0</v>
      </c>
      <c r="AG123" s="273">
        <f t="shared" si="48"/>
        <v>0</v>
      </c>
      <c r="AH123" s="273">
        <f t="shared" si="49"/>
        <v>0</v>
      </c>
      <c r="AI123" s="273">
        <f t="shared" si="50"/>
        <v>0</v>
      </c>
      <c r="AJ123" s="273">
        <f t="shared" si="51"/>
        <v>0</v>
      </c>
      <c r="AK123" s="273">
        <f t="shared" si="52"/>
        <v>0</v>
      </c>
      <c r="AL123" s="274">
        <f t="shared" si="53"/>
        <v>0</v>
      </c>
      <c r="AN123" s="75" t="str">
        <f t="shared" si="54"/>
        <v>-</v>
      </c>
      <c r="AO123" s="75" t="str">
        <f t="shared" si="55"/>
        <v>-</v>
      </c>
      <c r="AP123" s="48">
        <f t="shared" si="58"/>
        <v>0</v>
      </c>
      <c r="AQ123" s="48">
        <f t="shared" si="56"/>
        <v>0</v>
      </c>
      <c r="AR123" s="49">
        <f t="shared" si="57"/>
        <v>0</v>
      </c>
    </row>
    <row r="124" spans="1:44" ht="15">
      <c r="A124" s="38" t="s">
        <v>4073</v>
      </c>
      <c r="B124" s="38" t="s">
        <v>29</v>
      </c>
      <c r="C124" s="38" t="s">
        <v>3771</v>
      </c>
      <c r="D124" s="38" t="s">
        <v>4074</v>
      </c>
      <c r="E124" s="38" t="s">
        <v>4075</v>
      </c>
      <c r="F124" s="38">
        <v>57361</v>
      </c>
      <c r="G124" s="47">
        <f t="shared" si="39"/>
        <v>4.3727031303423702E-2</v>
      </c>
      <c r="H124" s="44">
        <v>11110</v>
      </c>
      <c r="I124" s="44"/>
      <c r="J124" s="45">
        <f t="shared" si="59"/>
        <v>11110</v>
      </c>
      <c r="K124" s="38"/>
      <c r="L124" s="38"/>
      <c r="M124" s="38"/>
      <c r="N124" s="34">
        <f>VLOOKUP(F124,'GHG Emissions Factors'!$B$2:$C$4000,2,FALSE)</f>
        <v>0</v>
      </c>
      <c r="O124" s="45">
        <f t="shared" si="40"/>
        <v>0</v>
      </c>
      <c r="P124" s="34">
        <f>IF(L124="yes", 0, _xlfn.XLOOKUP(F124, 'GHG Emissions Factors'!$B$2:$B$4000, 'GHG Emissions Factors'!$D$2:$D$4000, 0))</f>
        <v>0</v>
      </c>
      <c r="Q124" s="46"/>
      <c r="R124" s="46"/>
      <c r="S124" s="46">
        <f>ProcurementAllocationData[[#This Row],[Net MWhs Procured]]-(ProcurementAllocationData[[#This Row],[Deep Green]]+ProcurementAllocationData[[#This Row],[LocalSol]]+ProcurementAllocationData[[#This Row],[GreenAccess]])</f>
        <v>11110</v>
      </c>
      <c r="T124" s="46"/>
      <c r="U124" s="46"/>
      <c r="V124" s="46"/>
      <c r="W124" s="46"/>
      <c r="X124" s="46"/>
      <c r="Y124" s="112">
        <f t="shared" si="41"/>
        <v>486</v>
      </c>
      <c r="Z124" s="150">
        <f t="shared" si="42"/>
        <v>0</v>
      </c>
      <c r="AA124" s="150">
        <f t="shared" si="43"/>
        <v>486</v>
      </c>
      <c r="AB124" s="113">
        <f t="shared" si="44"/>
        <v>0</v>
      </c>
      <c r="AD124" s="272" t="str">
        <f t="shared" si="45"/>
        <v>Sand Drag - Sand Drag LLC</v>
      </c>
      <c r="AE124" s="273">
        <f t="shared" si="46"/>
        <v>0</v>
      </c>
      <c r="AF124" s="273">
        <f t="shared" si="47"/>
        <v>0</v>
      </c>
      <c r="AG124" s="273">
        <f t="shared" si="48"/>
        <v>0</v>
      </c>
      <c r="AH124" s="273">
        <f t="shared" si="49"/>
        <v>0</v>
      </c>
      <c r="AI124" s="273">
        <f t="shared" si="50"/>
        <v>0</v>
      </c>
      <c r="AJ124" s="273">
        <f t="shared" si="51"/>
        <v>0</v>
      </c>
      <c r="AK124" s="273">
        <f t="shared" si="52"/>
        <v>0</v>
      </c>
      <c r="AL124" s="274">
        <f t="shared" si="53"/>
        <v>0</v>
      </c>
      <c r="AN124" s="75" t="str">
        <f t="shared" si="54"/>
        <v>-</v>
      </c>
      <c r="AO124" s="75" t="str">
        <f t="shared" si="55"/>
        <v>-</v>
      </c>
      <c r="AP124" s="48">
        <f t="shared" si="58"/>
        <v>0</v>
      </c>
      <c r="AQ124" s="48">
        <f t="shared" si="56"/>
        <v>0</v>
      </c>
      <c r="AR124" s="49">
        <f t="shared" si="57"/>
        <v>0</v>
      </c>
    </row>
    <row r="125" spans="1:44" ht="15">
      <c r="A125" s="38" t="s">
        <v>4076</v>
      </c>
      <c r="B125" s="38" t="s">
        <v>26</v>
      </c>
      <c r="C125" s="38" t="s">
        <v>4077</v>
      </c>
      <c r="D125" s="38" t="s">
        <v>4078</v>
      </c>
      <c r="E125" s="38" t="s">
        <v>4079</v>
      </c>
      <c r="F125" s="38">
        <v>57457</v>
      </c>
      <c r="G125" s="47">
        <f t="shared" si="39"/>
        <v>6.5978850116714893E-2</v>
      </c>
      <c r="H125" s="44">
        <v>3864</v>
      </c>
      <c r="I125" s="44"/>
      <c r="J125" s="45">
        <f t="shared" si="59"/>
        <v>3864</v>
      </c>
      <c r="K125" s="38"/>
      <c r="L125" s="38"/>
      <c r="M125" s="38"/>
      <c r="N125" s="34">
        <f>VLOOKUP(F125,'GHG Emissions Factors'!$B$2:$C$4000,2,FALSE)</f>
        <v>1.0386</v>
      </c>
      <c r="O125" s="45">
        <f t="shared" si="40"/>
        <v>4013.1504</v>
      </c>
      <c r="P125" s="34">
        <f>IF(L125="yes", 0, _xlfn.XLOOKUP(F125, 'GHG Emissions Factors'!$B$2:$B$4000, 'GHG Emissions Factors'!$D$2:$D$4000, 0))</f>
        <v>2.2200000000000001E-2</v>
      </c>
      <c r="Q125" s="46"/>
      <c r="R125" s="46"/>
      <c r="S125" s="46">
        <f>ProcurementAllocationData[[#This Row],[Net MWhs Procured]]-(ProcurementAllocationData[[#This Row],[Deep Green]]+ProcurementAllocationData[[#This Row],[LocalSol]]+ProcurementAllocationData[[#This Row],[GreenAccess]])</f>
        <v>3864</v>
      </c>
      <c r="T125" s="46"/>
      <c r="U125" s="46"/>
      <c r="V125" s="46"/>
      <c r="W125" s="46"/>
      <c r="X125" s="46"/>
      <c r="Y125" s="112">
        <f t="shared" si="41"/>
        <v>255</v>
      </c>
      <c r="Z125" s="150">
        <f t="shared" si="42"/>
        <v>0</v>
      </c>
      <c r="AA125" s="150">
        <f t="shared" si="43"/>
        <v>255</v>
      </c>
      <c r="AB125" s="113">
        <f t="shared" si="44"/>
        <v>0</v>
      </c>
      <c r="AD125" s="272" t="str">
        <f t="shared" si="45"/>
        <v>Seneca Sustainable Energy - Seneca Sustainable Energy</v>
      </c>
      <c r="AE125" s="273">
        <f t="shared" si="46"/>
        <v>0</v>
      </c>
      <c r="AF125" s="273">
        <f t="shared" si="47"/>
        <v>0</v>
      </c>
      <c r="AG125" s="273">
        <f t="shared" si="48"/>
        <v>85.780799999999999</v>
      </c>
      <c r="AH125" s="273">
        <f t="shared" si="49"/>
        <v>0</v>
      </c>
      <c r="AI125" s="273">
        <f t="shared" si="50"/>
        <v>0</v>
      </c>
      <c r="AJ125" s="273">
        <f t="shared" si="51"/>
        <v>0</v>
      </c>
      <c r="AK125" s="273">
        <f t="shared" si="52"/>
        <v>0</v>
      </c>
      <c r="AL125" s="274">
        <f t="shared" si="53"/>
        <v>0</v>
      </c>
      <c r="AN125" s="75" t="str">
        <f t="shared" si="54"/>
        <v>-</v>
      </c>
      <c r="AO125" s="75" t="str">
        <f t="shared" si="55"/>
        <v>-</v>
      </c>
      <c r="AP125" s="48">
        <f t="shared" si="58"/>
        <v>0</v>
      </c>
      <c r="AQ125" s="48">
        <f t="shared" si="56"/>
        <v>0</v>
      </c>
      <c r="AR125" s="49">
        <f t="shared" si="57"/>
        <v>0</v>
      </c>
    </row>
    <row r="126" spans="1:44" ht="15">
      <c r="A126" s="38" t="s">
        <v>4080</v>
      </c>
      <c r="B126" s="38" t="s">
        <v>30</v>
      </c>
      <c r="C126" s="38" t="s">
        <v>3771</v>
      </c>
      <c r="D126" s="38" t="s">
        <v>4081</v>
      </c>
      <c r="E126" s="38" t="s">
        <v>4082</v>
      </c>
      <c r="F126" s="38">
        <v>57586</v>
      </c>
      <c r="G126" s="47">
        <f t="shared" si="39"/>
        <v>4.3727031303423702E-2</v>
      </c>
      <c r="H126" s="44">
        <v>64053</v>
      </c>
      <c r="I126" s="44"/>
      <c r="J126" s="45">
        <f t="shared" si="59"/>
        <v>64053</v>
      </c>
      <c r="K126" s="38"/>
      <c r="L126" s="38"/>
      <c r="M126" s="38"/>
      <c r="N126" s="34">
        <f>VLOOKUP(F126,'GHG Emissions Factors'!$B$2:$C$4000,2,FALSE)</f>
        <v>0</v>
      </c>
      <c r="O126" s="45">
        <f t="shared" si="40"/>
        <v>0</v>
      </c>
      <c r="P126" s="34">
        <f>IF(L126="yes", 0, _xlfn.XLOOKUP(F126, 'GHG Emissions Factors'!$B$2:$B$4000, 'GHG Emissions Factors'!$D$2:$D$4000, 0))</f>
        <v>0</v>
      </c>
      <c r="Q126" s="46"/>
      <c r="R126" s="46"/>
      <c r="S126" s="46">
        <f>ProcurementAllocationData[[#This Row],[Net MWhs Procured]]-(ProcurementAllocationData[[#This Row],[Deep Green]]+ProcurementAllocationData[[#This Row],[LocalSol]]+ProcurementAllocationData[[#This Row],[GreenAccess]])</f>
        <v>64053</v>
      </c>
      <c r="T126" s="46"/>
      <c r="U126" s="46"/>
      <c r="V126" s="46"/>
      <c r="W126" s="46"/>
      <c r="X126" s="46"/>
      <c r="Y126" s="112">
        <f t="shared" si="41"/>
        <v>2801</v>
      </c>
      <c r="Z126" s="150">
        <f t="shared" si="42"/>
        <v>0</v>
      </c>
      <c r="AA126" s="150">
        <f t="shared" si="43"/>
        <v>2801</v>
      </c>
      <c r="AB126" s="113">
        <f t="shared" si="44"/>
        <v>0</v>
      </c>
      <c r="AD126" s="272" t="str">
        <f t="shared" si="45"/>
        <v>Shiloh III Wind Project, LLC - Shiloh III Wind Project, LLC</v>
      </c>
      <c r="AE126" s="273">
        <f t="shared" si="46"/>
        <v>0</v>
      </c>
      <c r="AF126" s="273">
        <f t="shared" si="47"/>
        <v>0</v>
      </c>
      <c r="AG126" s="273">
        <f t="shared" si="48"/>
        <v>0</v>
      </c>
      <c r="AH126" s="273">
        <f t="shared" si="49"/>
        <v>0</v>
      </c>
      <c r="AI126" s="273">
        <f t="shared" si="50"/>
        <v>0</v>
      </c>
      <c r="AJ126" s="273">
        <f t="shared" si="51"/>
        <v>0</v>
      </c>
      <c r="AK126" s="273">
        <f t="shared" si="52"/>
        <v>0</v>
      </c>
      <c r="AL126" s="274">
        <f t="shared" si="53"/>
        <v>0</v>
      </c>
      <c r="AN126" s="75" t="str">
        <f t="shared" si="54"/>
        <v>-</v>
      </c>
      <c r="AO126" s="75" t="str">
        <f t="shared" si="55"/>
        <v>-</v>
      </c>
      <c r="AP126" s="48">
        <f t="shared" si="58"/>
        <v>0</v>
      </c>
      <c r="AQ126" s="48">
        <f t="shared" si="56"/>
        <v>0</v>
      </c>
      <c r="AR126" s="49">
        <f t="shared" si="57"/>
        <v>0</v>
      </c>
    </row>
    <row r="127" spans="1:44" ht="15">
      <c r="A127" s="38" t="s">
        <v>4083</v>
      </c>
      <c r="B127" s="38" t="s">
        <v>30</v>
      </c>
      <c r="C127" s="38" t="s">
        <v>3771</v>
      </c>
      <c r="D127" s="38" t="s">
        <v>4084</v>
      </c>
      <c r="E127" s="38" t="s">
        <v>4085</v>
      </c>
      <c r="F127" s="38">
        <v>56874</v>
      </c>
      <c r="G127" s="47">
        <f t="shared" si="39"/>
        <v>4.3727031303423702E-2</v>
      </c>
      <c r="H127" s="44">
        <v>69206</v>
      </c>
      <c r="I127" s="44"/>
      <c r="J127" s="45">
        <f t="shared" si="59"/>
        <v>69206</v>
      </c>
      <c r="K127" s="38"/>
      <c r="L127" s="38"/>
      <c r="M127" s="38"/>
      <c r="N127" s="34">
        <f>VLOOKUP(F127,'GHG Emissions Factors'!$B$2:$C$4000,2,FALSE)</f>
        <v>0</v>
      </c>
      <c r="O127" s="45">
        <f t="shared" si="40"/>
        <v>0</v>
      </c>
      <c r="P127" s="34">
        <f>IF(L127="yes", 0, _xlfn.XLOOKUP(F127, 'GHG Emissions Factors'!$B$2:$B$4000, 'GHG Emissions Factors'!$D$2:$D$4000, 0))</f>
        <v>0</v>
      </c>
      <c r="Q127" s="46"/>
      <c r="R127" s="46"/>
      <c r="S127" s="46">
        <f>ProcurementAllocationData[[#This Row],[Net MWhs Procured]]-(ProcurementAllocationData[[#This Row],[Deep Green]]+ProcurementAllocationData[[#This Row],[LocalSol]]+ProcurementAllocationData[[#This Row],[GreenAccess]])</f>
        <v>69206</v>
      </c>
      <c r="T127" s="46"/>
      <c r="U127" s="46"/>
      <c r="V127" s="46"/>
      <c r="W127" s="46"/>
      <c r="X127" s="46"/>
      <c r="Y127" s="112">
        <f t="shared" si="41"/>
        <v>3026</v>
      </c>
      <c r="Z127" s="150">
        <f t="shared" si="42"/>
        <v>0</v>
      </c>
      <c r="AA127" s="150">
        <f t="shared" si="43"/>
        <v>3026</v>
      </c>
      <c r="AB127" s="113">
        <f t="shared" si="44"/>
        <v>0</v>
      </c>
      <c r="AD127" s="272" t="str">
        <f t="shared" si="45"/>
        <v>Shiloh Wind Project 2, LLC - Shiloh Wind Project 2, LLC</v>
      </c>
      <c r="AE127" s="273">
        <f t="shared" si="46"/>
        <v>0</v>
      </c>
      <c r="AF127" s="273">
        <f t="shared" si="47"/>
        <v>0</v>
      </c>
      <c r="AG127" s="273">
        <f t="shared" si="48"/>
        <v>0</v>
      </c>
      <c r="AH127" s="273">
        <f t="shared" si="49"/>
        <v>0</v>
      </c>
      <c r="AI127" s="273">
        <f t="shared" si="50"/>
        <v>0</v>
      </c>
      <c r="AJ127" s="273">
        <f t="shared" si="51"/>
        <v>0</v>
      </c>
      <c r="AK127" s="273">
        <f t="shared" si="52"/>
        <v>0</v>
      </c>
      <c r="AL127" s="274">
        <f t="shared" si="53"/>
        <v>0</v>
      </c>
      <c r="AN127" s="75" t="str">
        <f t="shared" si="54"/>
        <v>-</v>
      </c>
      <c r="AO127" s="75" t="str">
        <f t="shared" si="55"/>
        <v>-</v>
      </c>
      <c r="AP127" s="48">
        <f t="shared" si="58"/>
        <v>0</v>
      </c>
      <c r="AQ127" s="48">
        <f t="shared" si="56"/>
        <v>0</v>
      </c>
      <c r="AR127" s="49">
        <f t="shared" si="57"/>
        <v>0</v>
      </c>
    </row>
    <row r="128" spans="1:44" ht="15">
      <c r="A128" s="38" t="s">
        <v>4086</v>
      </c>
      <c r="B128" s="38" t="s">
        <v>26</v>
      </c>
      <c r="C128" s="38" t="s">
        <v>3771</v>
      </c>
      <c r="D128" s="38" t="s">
        <v>4087</v>
      </c>
      <c r="E128" s="38" t="s">
        <v>4088</v>
      </c>
      <c r="F128" s="38">
        <v>50110</v>
      </c>
      <c r="G128" s="47">
        <f t="shared" si="39"/>
        <v>4.3727031303423702E-2</v>
      </c>
      <c r="H128" s="44">
        <v>15757</v>
      </c>
      <c r="I128" s="44"/>
      <c r="J128" s="45">
        <f t="shared" si="59"/>
        <v>15757</v>
      </c>
      <c r="K128" s="38"/>
      <c r="L128" s="38"/>
      <c r="M128" s="38"/>
      <c r="N128" s="34">
        <f>VLOOKUP(F128,'GHG Emissions Factors'!$B$2:$C$4000,2,FALSE)</f>
        <v>0.45490000000000003</v>
      </c>
      <c r="O128" s="45">
        <f t="shared" si="40"/>
        <v>7167.8593000000001</v>
      </c>
      <c r="P128" s="34">
        <f>IF(L128="yes", 0, _xlfn.XLOOKUP(F128, 'GHG Emissions Factors'!$B$2:$B$4000, 'GHG Emissions Factors'!$D$2:$D$4000, 0))</f>
        <v>8.9999999999999993E-3</v>
      </c>
      <c r="Q128" s="46"/>
      <c r="R128" s="46"/>
      <c r="S128" s="46">
        <f>ProcurementAllocationData[[#This Row],[Net MWhs Procured]]-(ProcurementAllocationData[[#This Row],[Deep Green]]+ProcurementAllocationData[[#This Row],[LocalSol]]+ProcurementAllocationData[[#This Row],[GreenAccess]])</f>
        <v>15757</v>
      </c>
      <c r="T128" s="46"/>
      <c r="U128" s="46"/>
      <c r="V128" s="46"/>
      <c r="W128" s="46"/>
      <c r="X128" s="46"/>
      <c r="Y128" s="112">
        <f t="shared" si="41"/>
        <v>689</v>
      </c>
      <c r="Z128" s="150">
        <f t="shared" si="42"/>
        <v>0</v>
      </c>
      <c r="AA128" s="150">
        <f t="shared" si="43"/>
        <v>689</v>
      </c>
      <c r="AB128" s="113">
        <f t="shared" si="44"/>
        <v>0</v>
      </c>
      <c r="AD128" s="272" t="str">
        <f t="shared" si="45"/>
        <v>Sierra Pacific Burney Facility - Sierra Pacific Industry (Burney)</v>
      </c>
      <c r="AE128" s="273">
        <f t="shared" si="46"/>
        <v>0</v>
      </c>
      <c r="AF128" s="273">
        <f t="shared" si="47"/>
        <v>0</v>
      </c>
      <c r="AG128" s="273">
        <f t="shared" si="48"/>
        <v>141.81299999999999</v>
      </c>
      <c r="AH128" s="273">
        <f t="shared" si="49"/>
        <v>0</v>
      </c>
      <c r="AI128" s="273">
        <f t="shared" si="50"/>
        <v>0</v>
      </c>
      <c r="AJ128" s="273">
        <f t="shared" si="51"/>
        <v>0</v>
      </c>
      <c r="AK128" s="273">
        <f t="shared" si="52"/>
        <v>0</v>
      </c>
      <c r="AL128" s="274">
        <f t="shared" si="53"/>
        <v>0</v>
      </c>
      <c r="AN128" s="75" t="str">
        <f t="shared" si="54"/>
        <v>-</v>
      </c>
      <c r="AO128" s="75" t="str">
        <f t="shared" si="55"/>
        <v>-</v>
      </c>
      <c r="AP128" s="48">
        <f t="shared" si="58"/>
        <v>0</v>
      </c>
      <c r="AQ128" s="48">
        <f t="shared" si="56"/>
        <v>0</v>
      </c>
      <c r="AR128" s="49">
        <f t="shared" si="57"/>
        <v>0</v>
      </c>
    </row>
    <row r="129" spans="1:44" ht="15">
      <c r="A129" s="38" t="s">
        <v>4089</v>
      </c>
      <c r="B129" s="38" t="s">
        <v>26</v>
      </c>
      <c r="C129" s="38" t="s">
        <v>3771</v>
      </c>
      <c r="D129" s="38" t="s">
        <v>4090</v>
      </c>
      <c r="E129" s="38" t="s">
        <v>4091</v>
      </c>
      <c r="F129" s="38">
        <v>10144</v>
      </c>
      <c r="G129" s="47">
        <f t="shared" si="39"/>
        <v>4.3727031303423702E-2</v>
      </c>
      <c r="H129" s="44">
        <v>13596</v>
      </c>
      <c r="I129" s="44"/>
      <c r="J129" s="45">
        <f t="shared" si="59"/>
        <v>13596</v>
      </c>
      <c r="K129" s="38"/>
      <c r="L129" s="38"/>
      <c r="M129" s="38"/>
      <c r="N129" s="34">
        <f>VLOOKUP(F129,'GHG Emissions Factors'!$B$2:$C$4000,2,FALSE)</f>
        <v>0.54620000000000002</v>
      </c>
      <c r="O129" s="45">
        <f t="shared" si="40"/>
        <v>7426.1352000000006</v>
      </c>
      <c r="P129" s="34">
        <f>IF(L129="yes", 0, _xlfn.XLOOKUP(F129, 'GHG Emissions Factors'!$B$2:$B$4000, 'GHG Emissions Factors'!$D$2:$D$4000, 0))</f>
        <v>1.0800000000000001E-2</v>
      </c>
      <c r="Q129" s="46"/>
      <c r="R129" s="46"/>
      <c r="S129" s="46">
        <f>ProcurementAllocationData[[#This Row],[Net MWhs Procured]]-(ProcurementAllocationData[[#This Row],[Deep Green]]+ProcurementAllocationData[[#This Row],[LocalSol]]+ProcurementAllocationData[[#This Row],[GreenAccess]])</f>
        <v>13596</v>
      </c>
      <c r="T129" s="46"/>
      <c r="U129" s="46"/>
      <c r="V129" s="46"/>
      <c r="W129" s="46"/>
      <c r="X129" s="46"/>
      <c r="Y129" s="112">
        <f t="shared" si="41"/>
        <v>595</v>
      </c>
      <c r="Z129" s="150">
        <f t="shared" si="42"/>
        <v>0</v>
      </c>
      <c r="AA129" s="150">
        <f t="shared" si="43"/>
        <v>595</v>
      </c>
      <c r="AB129" s="113">
        <f t="shared" si="44"/>
        <v>0</v>
      </c>
      <c r="AD129" s="272" t="str">
        <f t="shared" si="45"/>
        <v>Sierra Pacific Ind. (Lincoln) - Sierra Pacific Industry (Lincoln)</v>
      </c>
      <c r="AE129" s="273">
        <f t="shared" si="46"/>
        <v>0</v>
      </c>
      <c r="AF129" s="273">
        <f t="shared" si="47"/>
        <v>0</v>
      </c>
      <c r="AG129" s="273">
        <f t="shared" si="48"/>
        <v>146.83680000000001</v>
      </c>
      <c r="AH129" s="273">
        <f t="shared" si="49"/>
        <v>0</v>
      </c>
      <c r="AI129" s="273">
        <f t="shared" si="50"/>
        <v>0</v>
      </c>
      <c r="AJ129" s="273">
        <f t="shared" si="51"/>
        <v>0</v>
      </c>
      <c r="AK129" s="273">
        <f t="shared" si="52"/>
        <v>0</v>
      </c>
      <c r="AL129" s="274">
        <f t="shared" si="53"/>
        <v>0</v>
      </c>
      <c r="AN129" s="75" t="str">
        <f t="shared" si="54"/>
        <v>-</v>
      </c>
      <c r="AO129" s="75" t="str">
        <f t="shared" si="55"/>
        <v>-</v>
      </c>
      <c r="AP129" s="48">
        <f t="shared" si="58"/>
        <v>0</v>
      </c>
      <c r="AQ129" s="48">
        <f t="shared" si="56"/>
        <v>0</v>
      </c>
      <c r="AR129" s="49">
        <f t="shared" si="57"/>
        <v>0</v>
      </c>
    </row>
    <row r="130" spans="1:44" ht="15">
      <c r="A130" s="38" t="s">
        <v>4092</v>
      </c>
      <c r="B130" s="38" t="s">
        <v>26</v>
      </c>
      <c r="C130" s="38" t="s">
        <v>3771</v>
      </c>
      <c r="D130" s="38" t="s">
        <v>4093</v>
      </c>
      <c r="E130" s="38" t="s">
        <v>4094</v>
      </c>
      <c r="F130" s="38">
        <v>50112</v>
      </c>
      <c r="G130" s="47">
        <f t="shared" si="39"/>
        <v>4.3727031303423702E-2</v>
      </c>
      <c r="H130" s="44">
        <v>50810</v>
      </c>
      <c r="I130" s="44"/>
      <c r="J130" s="45">
        <f t="shared" si="59"/>
        <v>50810</v>
      </c>
      <c r="K130" s="38"/>
      <c r="L130" s="38"/>
      <c r="M130" s="38"/>
      <c r="N130" s="34">
        <f>VLOOKUP(F130,'GHG Emissions Factors'!$B$2:$C$4000,2,FALSE)</f>
        <v>2.2532000000000001</v>
      </c>
      <c r="O130" s="45">
        <f t="shared" si="40"/>
        <v>114485.092</v>
      </c>
      <c r="P130" s="34">
        <f>IF(L130="yes", 0, _xlfn.XLOOKUP(F130, 'GHG Emissions Factors'!$B$2:$B$4000, 'GHG Emissions Factors'!$D$2:$D$4000, 0))</f>
        <v>4.7300000000000002E-2</v>
      </c>
      <c r="Q130" s="46"/>
      <c r="R130" s="46"/>
      <c r="S130" s="46">
        <f>ProcurementAllocationData[[#This Row],[Net MWhs Procured]]-(ProcurementAllocationData[[#This Row],[Deep Green]]+ProcurementAllocationData[[#This Row],[LocalSol]]+ProcurementAllocationData[[#This Row],[GreenAccess]])</f>
        <v>50810</v>
      </c>
      <c r="T130" s="46"/>
      <c r="U130" s="46"/>
      <c r="V130" s="46"/>
      <c r="W130" s="46"/>
      <c r="X130" s="46"/>
      <c r="Y130" s="112">
        <f t="shared" si="41"/>
        <v>2222</v>
      </c>
      <c r="Z130" s="150">
        <f t="shared" si="42"/>
        <v>0</v>
      </c>
      <c r="AA130" s="150">
        <f t="shared" si="43"/>
        <v>2222</v>
      </c>
      <c r="AB130" s="113">
        <f t="shared" si="44"/>
        <v>0</v>
      </c>
      <c r="AD130" s="272" t="str">
        <f t="shared" si="45"/>
        <v>Sierra Pacific Ind. (Quincy) - Sierra Pacific Industry (Quincy)</v>
      </c>
      <c r="AE130" s="273">
        <f t="shared" si="46"/>
        <v>0</v>
      </c>
      <c r="AF130" s="273">
        <f t="shared" si="47"/>
        <v>0</v>
      </c>
      <c r="AG130" s="273">
        <f t="shared" si="48"/>
        <v>2403.3130000000001</v>
      </c>
      <c r="AH130" s="273">
        <f t="shared" si="49"/>
        <v>0</v>
      </c>
      <c r="AI130" s="273">
        <f t="shared" si="50"/>
        <v>0</v>
      </c>
      <c r="AJ130" s="273">
        <f t="shared" si="51"/>
        <v>0</v>
      </c>
      <c r="AK130" s="273">
        <f t="shared" si="52"/>
        <v>0</v>
      </c>
      <c r="AL130" s="274">
        <f t="shared" si="53"/>
        <v>0</v>
      </c>
      <c r="AN130" s="75" t="str">
        <f t="shared" si="54"/>
        <v>-</v>
      </c>
      <c r="AO130" s="75" t="str">
        <f t="shared" si="55"/>
        <v>-</v>
      </c>
      <c r="AP130" s="48">
        <f t="shared" si="58"/>
        <v>0</v>
      </c>
      <c r="AQ130" s="48">
        <f t="shared" si="56"/>
        <v>0</v>
      </c>
      <c r="AR130" s="49">
        <f t="shared" si="57"/>
        <v>0</v>
      </c>
    </row>
    <row r="131" spans="1:44" ht="15">
      <c r="A131" s="38" t="s">
        <v>4095</v>
      </c>
      <c r="B131" s="38" t="s">
        <v>26</v>
      </c>
      <c r="C131" s="38" t="s">
        <v>3771</v>
      </c>
      <c r="D131" s="38" t="s">
        <v>4096</v>
      </c>
      <c r="E131" s="38" t="s">
        <v>4097</v>
      </c>
      <c r="F131" s="38">
        <v>54517</v>
      </c>
      <c r="G131" s="47">
        <f t="shared" si="39"/>
        <v>4.3727031303423702E-2</v>
      </c>
      <c r="H131" s="44">
        <v>6395</v>
      </c>
      <c r="I131" s="44"/>
      <c r="J131" s="45">
        <f t="shared" si="59"/>
        <v>6395</v>
      </c>
      <c r="K131" s="38"/>
      <c r="L131" s="38"/>
      <c r="M131" s="38"/>
      <c r="N131" s="34">
        <f>VLOOKUP(F131,'GHG Emissions Factors'!$B$2:$C$4000,2,FALSE)</f>
        <v>3.5065</v>
      </c>
      <c r="O131" s="45">
        <f t="shared" si="40"/>
        <v>22424.067500000001</v>
      </c>
      <c r="P131" s="34">
        <f>IF(L131="yes", 0, _xlfn.XLOOKUP(F131, 'GHG Emissions Factors'!$B$2:$B$4000, 'GHG Emissions Factors'!$D$2:$D$4000, 0))</f>
        <v>7.7200000000000005E-2</v>
      </c>
      <c r="Q131" s="46"/>
      <c r="R131" s="46"/>
      <c r="S131" s="46">
        <f>ProcurementAllocationData[[#This Row],[Net MWhs Procured]]-(ProcurementAllocationData[[#This Row],[Deep Green]]+ProcurementAllocationData[[#This Row],[LocalSol]]+ProcurementAllocationData[[#This Row],[GreenAccess]])</f>
        <v>6395</v>
      </c>
      <c r="T131" s="46"/>
      <c r="U131" s="46"/>
      <c r="V131" s="46"/>
      <c r="W131" s="46"/>
      <c r="X131" s="46"/>
      <c r="Y131" s="112">
        <f t="shared" si="41"/>
        <v>280</v>
      </c>
      <c r="Z131" s="150">
        <f t="shared" si="42"/>
        <v>0</v>
      </c>
      <c r="AA131" s="150">
        <f t="shared" si="43"/>
        <v>280</v>
      </c>
      <c r="AB131" s="113">
        <f t="shared" si="44"/>
        <v>0</v>
      </c>
      <c r="AD131" s="272" t="str">
        <f t="shared" si="45"/>
        <v>Sierra Pacific Sonora - Sierra Pacific Sonora</v>
      </c>
      <c r="AE131" s="273">
        <f t="shared" si="46"/>
        <v>0</v>
      </c>
      <c r="AF131" s="273">
        <f t="shared" si="47"/>
        <v>0</v>
      </c>
      <c r="AG131" s="273">
        <f t="shared" si="48"/>
        <v>493.69400000000002</v>
      </c>
      <c r="AH131" s="273">
        <f t="shared" si="49"/>
        <v>0</v>
      </c>
      <c r="AI131" s="273">
        <f t="shared" si="50"/>
        <v>0</v>
      </c>
      <c r="AJ131" s="273">
        <f t="shared" si="51"/>
        <v>0</v>
      </c>
      <c r="AK131" s="273">
        <f t="shared" si="52"/>
        <v>0</v>
      </c>
      <c r="AL131" s="274">
        <f t="shared" si="53"/>
        <v>0</v>
      </c>
      <c r="AN131" s="75" t="str">
        <f t="shared" si="54"/>
        <v>-</v>
      </c>
      <c r="AO131" s="75" t="str">
        <f t="shared" si="55"/>
        <v>-</v>
      </c>
      <c r="AP131" s="48">
        <f t="shared" si="58"/>
        <v>0</v>
      </c>
      <c r="AQ131" s="48">
        <f t="shared" si="56"/>
        <v>0</v>
      </c>
      <c r="AR131" s="49">
        <f t="shared" si="57"/>
        <v>0</v>
      </c>
    </row>
    <row r="132" spans="1:44" ht="15">
      <c r="A132" s="38" t="s">
        <v>4098</v>
      </c>
      <c r="B132" s="38" t="s">
        <v>29</v>
      </c>
      <c r="C132" s="38" t="s">
        <v>3771</v>
      </c>
      <c r="D132" s="38" t="s">
        <v>4099</v>
      </c>
      <c r="E132" s="38" t="s">
        <v>4100</v>
      </c>
      <c r="F132" s="38">
        <v>63762</v>
      </c>
      <c r="G132" s="47">
        <f t="shared" si="39"/>
        <v>4.3727031303423702E-2</v>
      </c>
      <c r="H132" s="44">
        <v>1562</v>
      </c>
      <c r="I132" s="44"/>
      <c r="J132" s="45">
        <f t="shared" si="59"/>
        <v>1562</v>
      </c>
      <c r="K132" s="38"/>
      <c r="L132" s="38"/>
      <c r="M132" s="38"/>
      <c r="N132" s="34">
        <f>VLOOKUP(F132,'GHG Emissions Factors'!$B$2:$C$4000,2,FALSE)</f>
        <v>0</v>
      </c>
      <c r="O132" s="45">
        <f t="shared" si="40"/>
        <v>0</v>
      </c>
      <c r="P132" s="34">
        <f>IF(L132="yes", 0, _xlfn.XLOOKUP(F132, 'GHG Emissions Factors'!$B$2:$B$4000, 'GHG Emissions Factors'!$D$2:$D$4000, 0))</f>
        <v>0</v>
      </c>
      <c r="Q132" s="46"/>
      <c r="R132" s="46"/>
      <c r="S132" s="46">
        <f>ProcurementAllocationData[[#This Row],[Net MWhs Procured]]-(ProcurementAllocationData[[#This Row],[Deep Green]]+ProcurementAllocationData[[#This Row],[LocalSol]]+ProcurementAllocationData[[#This Row],[GreenAccess]])</f>
        <v>1562</v>
      </c>
      <c r="T132" s="46"/>
      <c r="U132" s="46"/>
      <c r="V132" s="46"/>
      <c r="W132" s="46"/>
      <c r="X132" s="46"/>
      <c r="Y132" s="112">
        <f t="shared" si="41"/>
        <v>68</v>
      </c>
      <c r="Z132" s="150">
        <f t="shared" si="42"/>
        <v>0</v>
      </c>
      <c r="AA132" s="150">
        <f t="shared" si="43"/>
        <v>68</v>
      </c>
      <c r="AB132" s="113">
        <f t="shared" si="44"/>
        <v>0</v>
      </c>
      <c r="AD132" s="272" t="str">
        <f t="shared" si="45"/>
        <v>Silveira Ranch Solar A - Silveira Ranch Solar A</v>
      </c>
      <c r="AE132" s="273">
        <f t="shared" si="46"/>
        <v>0</v>
      </c>
      <c r="AF132" s="273">
        <f t="shared" si="47"/>
        <v>0</v>
      </c>
      <c r="AG132" s="273">
        <f t="shared" si="48"/>
        <v>0</v>
      </c>
      <c r="AH132" s="273">
        <f t="shared" si="49"/>
        <v>0</v>
      </c>
      <c r="AI132" s="273">
        <f t="shared" si="50"/>
        <v>0</v>
      </c>
      <c r="AJ132" s="273">
        <f t="shared" si="51"/>
        <v>0</v>
      </c>
      <c r="AK132" s="273">
        <f t="shared" si="52"/>
        <v>0</v>
      </c>
      <c r="AL132" s="274">
        <f t="shared" si="53"/>
        <v>0</v>
      </c>
      <c r="AN132" s="75" t="str">
        <f t="shared" si="54"/>
        <v>-</v>
      </c>
      <c r="AO132" s="75" t="str">
        <f t="shared" si="55"/>
        <v>-</v>
      </c>
      <c r="AP132" s="48">
        <f t="shared" si="58"/>
        <v>0</v>
      </c>
      <c r="AQ132" s="48">
        <f t="shared" si="56"/>
        <v>0</v>
      </c>
      <c r="AR132" s="49">
        <f t="shared" si="57"/>
        <v>0</v>
      </c>
    </row>
    <row r="133" spans="1:44" ht="15">
      <c r="A133" s="38" t="s">
        <v>4101</v>
      </c>
      <c r="B133" s="38" t="s">
        <v>29</v>
      </c>
      <c r="C133" s="38" t="s">
        <v>3771</v>
      </c>
      <c r="D133" s="38" t="s">
        <v>4102</v>
      </c>
      <c r="E133" s="38" t="s">
        <v>4103</v>
      </c>
      <c r="F133" s="38">
        <v>63762</v>
      </c>
      <c r="G133" s="47">
        <f t="shared" si="39"/>
        <v>4.3727031303423702E-2</v>
      </c>
      <c r="H133" s="44">
        <v>1793</v>
      </c>
      <c r="I133" s="44"/>
      <c r="J133" s="45">
        <f t="shared" si="59"/>
        <v>1793</v>
      </c>
      <c r="K133" s="38"/>
      <c r="L133" s="38"/>
      <c r="M133" s="38"/>
      <c r="N133" s="34">
        <f>VLOOKUP(F133,'GHG Emissions Factors'!$B$2:$C$4000,2,FALSE)</f>
        <v>0</v>
      </c>
      <c r="O133" s="45">
        <f t="shared" si="40"/>
        <v>0</v>
      </c>
      <c r="P133" s="34">
        <f>IF(L133="yes", 0, _xlfn.XLOOKUP(F133, 'GHG Emissions Factors'!$B$2:$B$4000, 'GHG Emissions Factors'!$D$2:$D$4000, 0))</f>
        <v>0</v>
      </c>
      <c r="Q133" s="46"/>
      <c r="R133" s="46"/>
      <c r="S133" s="46">
        <f>ProcurementAllocationData[[#This Row],[Net MWhs Procured]]-(ProcurementAllocationData[[#This Row],[Deep Green]]+ProcurementAllocationData[[#This Row],[LocalSol]]+ProcurementAllocationData[[#This Row],[GreenAccess]])</f>
        <v>1793</v>
      </c>
      <c r="T133" s="46"/>
      <c r="U133" s="46"/>
      <c r="V133" s="46"/>
      <c r="W133" s="46"/>
      <c r="X133" s="46"/>
      <c r="Y133" s="112">
        <f t="shared" si="41"/>
        <v>78</v>
      </c>
      <c r="Z133" s="150">
        <f t="shared" si="42"/>
        <v>0</v>
      </c>
      <c r="AA133" s="150">
        <f t="shared" si="43"/>
        <v>78</v>
      </c>
      <c r="AB133" s="113">
        <f t="shared" si="44"/>
        <v>0</v>
      </c>
      <c r="AD133" s="272" t="str">
        <f t="shared" si="45"/>
        <v>Silveira Ranch Solar B - Silveira Ranch Solar B</v>
      </c>
      <c r="AE133" s="273">
        <f t="shared" si="46"/>
        <v>0</v>
      </c>
      <c r="AF133" s="273">
        <f t="shared" si="47"/>
        <v>0</v>
      </c>
      <c r="AG133" s="273">
        <f t="shared" si="48"/>
        <v>0</v>
      </c>
      <c r="AH133" s="273">
        <f t="shared" si="49"/>
        <v>0</v>
      </c>
      <c r="AI133" s="273">
        <f t="shared" si="50"/>
        <v>0</v>
      </c>
      <c r="AJ133" s="273">
        <f t="shared" si="51"/>
        <v>0</v>
      </c>
      <c r="AK133" s="273">
        <f t="shared" si="52"/>
        <v>0</v>
      </c>
      <c r="AL133" s="274">
        <f t="shared" si="53"/>
        <v>0</v>
      </c>
      <c r="AN133" s="75" t="str">
        <f t="shared" si="54"/>
        <v>-</v>
      </c>
      <c r="AO133" s="75" t="str">
        <f t="shared" si="55"/>
        <v>-</v>
      </c>
      <c r="AP133" s="48">
        <f t="shared" si="58"/>
        <v>0</v>
      </c>
      <c r="AQ133" s="48">
        <f t="shared" si="56"/>
        <v>0</v>
      </c>
      <c r="AR133" s="49">
        <f t="shared" si="57"/>
        <v>0</v>
      </c>
    </row>
    <row r="134" spans="1:44" ht="15">
      <c r="A134" s="38" t="s">
        <v>4104</v>
      </c>
      <c r="B134" s="38" t="s">
        <v>29</v>
      </c>
      <c r="C134" s="38" t="s">
        <v>3771</v>
      </c>
      <c r="D134" s="38" t="s">
        <v>4105</v>
      </c>
      <c r="E134" s="38" t="s">
        <v>4106</v>
      </c>
      <c r="F134" s="38">
        <v>63762</v>
      </c>
      <c r="G134" s="47">
        <f t="shared" si="39"/>
        <v>4.3727031303423702E-2</v>
      </c>
      <c r="H134" s="44">
        <v>1773</v>
      </c>
      <c r="I134" s="44"/>
      <c r="J134" s="45">
        <f t="shared" si="59"/>
        <v>1773</v>
      </c>
      <c r="K134" s="38"/>
      <c r="L134" s="38"/>
      <c r="M134" s="38"/>
      <c r="N134" s="34">
        <f>VLOOKUP(F134,'GHG Emissions Factors'!$B$2:$C$4000,2,FALSE)</f>
        <v>0</v>
      </c>
      <c r="O134" s="45">
        <f t="shared" si="40"/>
        <v>0</v>
      </c>
      <c r="P134" s="34">
        <f>IF(L134="yes", 0, _xlfn.XLOOKUP(F134, 'GHG Emissions Factors'!$B$2:$B$4000, 'GHG Emissions Factors'!$D$2:$D$4000, 0))</f>
        <v>0</v>
      </c>
      <c r="Q134" s="46"/>
      <c r="R134" s="46"/>
      <c r="S134" s="46">
        <f>ProcurementAllocationData[[#This Row],[Net MWhs Procured]]-(ProcurementAllocationData[[#This Row],[Deep Green]]+ProcurementAllocationData[[#This Row],[LocalSol]]+ProcurementAllocationData[[#This Row],[GreenAccess]])</f>
        <v>1773</v>
      </c>
      <c r="T134" s="46"/>
      <c r="U134" s="46"/>
      <c r="V134" s="46"/>
      <c r="W134" s="46"/>
      <c r="X134" s="46"/>
      <c r="Y134" s="112">
        <f t="shared" si="41"/>
        <v>78</v>
      </c>
      <c r="Z134" s="150">
        <f t="shared" si="42"/>
        <v>0</v>
      </c>
      <c r="AA134" s="150">
        <f t="shared" si="43"/>
        <v>78</v>
      </c>
      <c r="AB134" s="113">
        <f t="shared" si="44"/>
        <v>0</v>
      </c>
      <c r="AD134" s="272" t="str">
        <f t="shared" si="45"/>
        <v>Silveira Ranch Solar C - Silveira Ranch Solar C</v>
      </c>
      <c r="AE134" s="273">
        <f t="shared" si="46"/>
        <v>0</v>
      </c>
      <c r="AF134" s="273">
        <f t="shared" si="47"/>
        <v>0</v>
      </c>
      <c r="AG134" s="273">
        <f t="shared" si="48"/>
        <v>0</v>
      </c>
      <c r="AH134" s="273">
        <f t="shared" si="49"/>
        <v>0</v>
      </c>
      <c r="AI134" s="273">
        <f t="shared" si="50"/>
        <v>0</v>
      </c>
      <c r="AJ134" s="273">
        <f t="shared" si="51"/>
        <v>0</v>
      </c>
      <c r="AK134" s="273">
        <f t="shared" si="52"/>
        <v>0</v>
      </c>
      <c r="AL134" s="274">
        <f t="shared" si="53"/>
        <v>0</v>
      </c>
      <c r="AN134" s="75" t="str">
        <f t="shared" si="54"/>
        <v>-</v>
      </c>
      <c r="AO134" s="75" t="str">
        <f t="shared" si="55"/>
        <v>-</v>
      </c>
      <c r="AP134" s="48">
        <f t="shared" si="58"/>
        <v>0</v>
      </c>
      <c r="AQ134" s="48">
        <f t="shared" si="56"/>
        <v>0</v>
      </c>
      <c r="AR134" s="49">
        <f t="shared" si="57"/>
        <v>0</v>
      </c>
    </row>
    <row r="135" spans="1:44" ht="15">
      <c r="A135" s="38" t="s">
        <v>4107</v>
      </c>
      <c r="B135" s="38" t="s">
        <v>29</v>
      </c>
      <c r="C135" s="38" t="s">
        <v>3771</v>
      </c>
      <c r="D135" s="38" t="s">
        <v>4108</v>
      </c>
      <c r="E135" s="38" t="s">
        <v>4109</v>
      </c>
      <c r="F135" s="38" t="s">
        <v>3463</v>
      </c>
      <c r="G135" s="47">
        <f t="shared" si="39"/>
        <v>4.3727031303423702E-2</v>
      </c>
      <c r="H135" s="44">
        <v>104</v>
      </c>
      <c r="I135" s="44"/>
      <c r="J135" s="45">
        <f t="shared" si="59"/>
        <v>104</v>
      </c>
      <c r="K135" s="38"/>
      <c r="L135" s="38"/>
      <c r="M135" s="38"/>
      <c r="N135" s="34">
        <f>VLOOKUP(F135,'GHG Emissions Factors'!$B$2:$C$4000,2,FALSE)</f>
        <v>0</v>
      </c>
      <c r="O135" s="45">
        <f t="shared" si="40"/>
        <v>0</v>
      </c>
      <c r="P135" s="34">
        <f>IF(L135="yes", 0, _xlfn.XLOOKUP(F135, 'GHG Emissions Factors'!$B$2:$B$4000, 'GHG Emissions Factors'!$D$2:$D$4000, 0))</f>
        <v>0</v>
      </c>
      <c r="Q135" s="46"/>
      <c r="R135" s="46"/>
      <c r="S135" s="46">
        <f>ProcurementAllocationData[[#This Row],[Net MWhs Procured]]-(ProcurementAllocationData[[#This Row],[Deep Green]]+ProcurementAllocationData[[#This Row],[LocalSol]]+ProcurementAllocationData[[#This Row],[GreenAccess]])</f>
        <v>104</v>
      </c>
      <c r="T135" s="46"/>
      <c r="U135" s="46"/>
      <c r="V135" s="46"/>
      <c r="W135" s="46"/>
      <c r="X135" s="46"/>
      <c r="Y135" s="112">
        <f t="shared" si="41"/>
        <v>5</v>
      </c>
      <c r="Z135" s="150">
        <f t="shared" si="42"/>
        <v>0</v>
      </c>
      <c r="AA135" s="150">
        <f t="shared" si="43"/>
        <v>5</v>
      </c>
      <c r="AB135" s="113">
        <f t="shared" si="44"/>
        <v>0</v>
      </c>
      <c r="AD135" s="272" t="str">
        <f t="shared" si="45"/>
        <v>Small World Trading Co - SWTC - Phase 2</v>
      </c>
      <c r="AE135" s="273">
        <f t="shared" si="46"/>
        <v>0</v>
      </c>
      <c r="AF135" s="273">
        <f t="shared" si="47"/>
        <v>0</v>
      </c>
      <c r="AG135" s="273">
        <f t="shared" si="48"/>
        <v>0</v>
      </c>
      <c r="AH135" s="273">
        <f t="shared" si="49"/>
        <v>0</v>
      </c>
      <c r="AI135" s="273">
        <f t="shared" si="50"/>
        <v>0</v>
      </c>
      <c r="AJ135" s="273">
        <f t="shared" si="51"/>
        <v>0</v>
      </c>
      <c r="AK135" s="273">
        <f t="shared" si="52"/>
        <v>0</v>
      </c>
      <c r="AL135" s="274">
        <f t="shared" si="53"/>
        <v>0</v>
      </c>
      <c r="AN135" s="75" t="str">
        <f t="shared" si="54"/>
        <v>-</v>
      </c>
      <c r="AO135" s="75" t="str">
        <f t="shared" si="55"/>
        <v>-</v>
      </c>
      <c r="AP135" s="48">
        <f t="shared" si="58"/>
        <v>0</v>
      </c>
      <c r="AQ135" s="48">
        <f t="shared" si="56"/>
        <v>0</v>
      </c>
      <c r="AR135" s="49">
        <f t="shared" si="57"/>
        <v>0</v>
      </c>
    </row>
    <row r="136" spans="1:44" ht="15">
      <c r="A136" s="38" t="s">
        <v>4110</v>
      </c>
      <c r="B136" s="38" t="s">
        <v>29</v>
      </c>
      <c r="C136" s="38" t="s">
        <v>3771</v>
      </c>
      <c r="D136" s="38" t="s">
        <v>4111</v>
      </c>
      <c r="E136" s="38" t="s">
        <v>4112</v>
      </c>
      <c r="F136" s="38">
        <v>63761</v>
      </c>
      <c r="G136" s="47">
        <f t="shared" si="39"/>
        <v>4.3727031303423702E-2</v>
      </c>
      <c r="H136" s="44">
        <v>2053</v>
      </c>
      <c r="I136" s="44"/>
      <c r="J136" s="45">
        <f t="shared" si="59"/>
        <v>2053</v>
      </c>
      <c r="K136" s="38"/>
      <c r="L136" s="38"/>
      <c r="M136" s="38"/>
      <c r="N136" s="34">
        <f>VLOOKUP(F136,'GHG Emissions Factors'!$B$2:$C$4000,2,FALSE)</f>
        <v>0</v>
      </c>
      <c r="O136" s="45">
        <f t="shared" si="40"/>
        <v>0</v>
      </c>
      <c r="P136" s="34">
        <f>IF(L136="yes", 0, _xlfn.XLOOKUP(F136, 'GHG Emissions Factors'!$B$2:$B$4000, 'GHG Emissions Factors'!$D$2:$D$4000, 0))</f>
        <v>0</v>
      </c>
      <c r="Q136" s="46"/>
      <c r="R136" s="46"/>
      <c r="S136" s="46">
        <f>ProcurementAllocationData[[#This Row],[Net MWhs Procured]]-(ProcurementAllocationData[[#This Row],[Deep Green]]+ProcurementAllocationData[[#This Row],[LocalSol]]+ProcurementAllocationData[[#This Row],[GreenAccess]])</f>
        <v>2053</v>
      </c>
      <c r="T136" s="46"/>
      <c r="U136" s="46"/>
      <c r="V136" s="46"/>
      <c r="W136" s="46"/>
      <c r="X136" s="46"/>
      <c r="Y136" s="112">
        <f t="shared" si="41"/>
        <v>90</v>
      </c>
      <c r="Z136" s="150">
        <f t="shared" si="42"/>
        <v>0</v>
      </c>
      <c r="AA136" s="150">
        <f t="shared" si="43"/>
        <v>90</v>
      </c>
      <c r="AB136" s="113">
        <f t="shared" si="44"/>
        <v>0</v>
      </c>
      <c r="AD136" s="272" t="str">
        <f t="shared" si="45"/>
        <v>Soscol Ferry Solar C - Soscol Ferry Solar C</v>
      </c>
      <c r="AE136" s="273">
        <f t="shared" si="46"/>
        <v>0</v>
      </c>
      <c r="AF136" s="273">
        <f t="shared" si="47"/>
        <v>0</v>
      </c>
      <c r="AG136" s="273">
        <f t="shared" si="48"/>
        <v>0</v>
      </c>
      <c r="AH136" s="273">
        <f t="shared" si="49"/>
        <v>0</v>
      </c>
      <c r="AI136" s="273">
        <f t="shared" si="50"/>
        <v>0</v>
      </c>
      <c r="AJ136" s="273">
        <f t="shared" si="51"/>
        <v>0</v>
      </c>
      <c r="AK136" s="273">
        <f t="shared" si="52"/>
        <v>0</v>
      </c>
      <c r="AL136" s="274">
        <f t="shared" si="53"/>
        <v>0</v>
      </c>
      <c r="AN136" s="75" t="str">
        <f t="shared" si="54"/>
        <v>-</v>
      </c>
      <c r="AO136" s="75" t="str">
        <f t="shared" si="55"/>
        <v>-</v>
      </c>
      <c r="AP136" s="48">
        <f t="shared" si="58"/>
        <v>0</v>
      </c>
      <c r="AQ136" s="48">
        <f t="shared" si="56"/>
        <v>0</v>
      </c>
      <c r="AR136" s="49">
        <f t="shared" si="57"/>
        <v>0</v>
      </c>
    </row>
    <row r="137" spans="1:44" ht="15">
      <c r="A137" s="38" t="s">
        <v>4113</v>
      </c>
      <c r="B137" s="38" t="s">
        <v>29</v>
      </c>
      <c r="C137" s="38" t="s">
        <v>3771</v>
      </c>
      <c r="D137" s="38" t="s">
        <v>4114</v>
      </c>
      <c r="E137" s="38" t="s">
        <v>4115</v>
      </c>
      <c r="F137" s="38">
        <v>63761</v>
      </c>
      <c r="G137" s="47">
        <f t="shared" si="39"/>
        <v>4.3727031303423702E-2</v>
      </c>
      <c r="H137" s="44">
        <v>2371</v>
      </c>
      <c r="I137" s="44"/>
      <c r="J137" s="45">
        <f t="shared" si="59"/>
        <v>2371</v>
      </c>
      <c r="K137" s="38"/>
      <c r="L137" s="38"/>
      <c r="M137" s="38"/>
      <c r="N137" s="34">
        <f>VLOOKUP(F137,'GHG Emissions Factors'!$B$2:$C$4000,2,FALSE)</f>
        <v>0</v>
      </c>
      <c r="O137" s="45">
        <f t="shared" si="40"/>
        <v>0</v>
      </c>
      <c r="P137" s="34">
        <f>IF(L137="yes", 0, _xlfn.XLOOKUP(F137, 'GHG Emissions Factors'!$B$2:$B$4000, 'GHG Emissions Factors'!$D$2:$D$4000, 0))</f>
        <v>0</v>
      </c>
      <c r="Q137" s="46"/>
      <c r="R137" s="46"/>
      <c r="S137" s="46">
        <f>ProcurementAllocationData[[#This Row],[Net MWhs Procured]]-(ProcurementAllocationData[[#This Row],[Deep Green]]+ProcurementAllocationData[[#This Row],[LocalSol]]+ProcurementAllocationData[[#This Row],[GreenAccess]])</f>
        <v>2371</v>
      </c>
      <c r="T137" s="46"/>
      <c r="U137" s="46"/>
      <c r="V137" s="46"/>
      <c r="W137" s="46"/>
      <c r="X137" s="46"/>
      <c r="Y137" s="112">
        <f t="shared" si="41"/>
        <v>104</v>
      </c>
      <c r="Z137" s="150">
        <f t="shared" si="42"/>
        <v>0</v>
      </c>
      <c r="AA137" s="150">
        <f t="shared" si="43"/>
        <v>104</v>
      </c>
      <c r="AB137" s="113">
        <f t="shared" si="44"/>
        <v>0</v>
      </c>
      <c r="AD137" s="272" t="str">
        <f t="shared" si="45"/>
        <v>Soscol Ferry Solar D - Soscol Ferry Solar D</v>
      </c>
      <c r="AE137" s="273">
        <f t="shared" si="46"/>
        <v>0</v>
      </c>
      <c r="AF137" s="273">
        <f t="shared" si="47"/>
        <v>0</v>
      </c>
      <c r="AG137" s="273">
        <f t="shared" si="48"/>
        <v>0</v>
      </c>
      <c r="AH137" s="273">
        <f t="shared" si="49"/>
        <v>0</v>
      </c>
      <c r="AI137" s="273">
        <f t="shared" si="50"/>
        <v>0</v>
      </c>
      <c r="AJ137" s="273">
        <f t="shared" si="51"/>
        <v>0</v>
      </c>
      <c r="AK137" s="273">
        <f t="shared" si="52"/>
        <v>0</v>
      </c>
      <c r="AL137" s="274">
        <f t="shared" si="53"/>
        <v>0</v>
      </c>
      <c r="AN137" s="75" t="str">
        <f t="shared" si="54"/>
        <v>-</v>
      </c>
      <c r="AO137" s="75" t="str">
        <f t="shared" si="55"/>
        <v>-</v>
      </c>
      <c r="AP137" s="48">
        <f t="shared" si="58"/>
        <v>0</v>
      </c>
      <c r="AQ137" s="48">
        <f t="shared" si="56"/>
        <v>0</v>
      </c>
      <c r="AR137" s="49">
        <f t="shared" si="57"/>
        <v>0</v>
      </c>
    </row>
    <row r="138" spans="1:44" ht="15">
      <c r="A138" s="38" t="s">
        <v>4116</v>
      </c>
      <c r="B138" s="38" t="s">
        <v>28</v>
      </c>
      <c r="C138" s="38" t="s">
        <v>3771</v>
      </c>
      <c r="D138" s="38" t="s">
        <v>4117</v>
      </c>
      <c r="E138" s="38" t="s">
        <v>4118</v>
      </c>
      <c r="F138" s="38">
        <v>280</v>
      </c>
      <c r="G138" s="47">
        <f t="shared" si="39"/>
        <v>4.3727031303423702E-2</v>
      </c>
      <c r="H138" s="44">
        <v>6892</v>
      </c>
      <c r="I138" s="44"/>
      <c r="J138" s="45">
        <f t="shared" si="59"/>
        <v>6892</v>
      </c>
      <c r="K138" s="38"/>
      <c r="L138" s="38"/>
      <c r="M138" s="38"/>
      <c r="N138" s="34">
        <f>VLOOKUP(F138,'GHG Emissions Factors'!$B$2:$C$4000,2,FALSE)</f>
        <v>0</v>
      </c>
      <c r="O138" s="45">
        <f t="shared" si="40"/>
        <v>0</v>
      </c>
      <c r="P138" s="34">
        <f>IF(L138="yes", 0, _xlfn.XLOOKUP(F138, 'GHG Emissions Factors'!$B$2:$B$4000, 'GHG Emissions Factors'!$D$2:$D$4000, 0))</f>
        <v>0</v>
      </c>
      <c r="Q138" s="46"/>
      <c r="R138" s="46"/>
      <c r="S138" s="46">
        <f>ProcurementAllocationData[[#This Row],[Net MWhs Procured]]-(ProcurementAllocationData[[#This Row],[Deep Green]]+ProcurementAllocationData[[#This Row],[LocalSol]]+ProcurementAllocationData[[#This Row],[GreenAccess]])</f>
        <v>6892</v>
      </c>
      <c r="T138" s="46"/>
      <c r="U138" s="46"/>
      <c r="V138" s="46"/>
      <c r="W138" s="46"/>
      <c r="X138" s="46"/>
      <c r="Y138" s="112">
        <f t="shared" si="41"/>
        <v>301</v>
      </c>
      <c r="Z138" s="150">
        <f t="shared" si="42"/>
        <v>0</v>
      </c>
      <c r="AA138" s="150">
        <f t="shared" si="43"/>
        <v>301</v>
      </c>
      <c r="AB138" s="113">
        <f t="shared" si="44"/>
        <v>0</v>
      </c>
      <c r="AD138" s="272" t="str">
        <f t="shared" si="45"/>
        <v>South Powerhouse - South Powerhouse</v>
      </c>
      <c r="AE138" s="273">
        <f t="shared" si="46"/>
        <v>0</v>
      </c>
      <c r="AF138" s="273">
        <f t="shared" si="47"/>
        <v>0</v>
      </c>
      <c r="AG138" s="273">
        <f t="shared" si="48"/>
        <v>0</v>
      </c>
      <c r="AH138" s="273">
        <f t="shared" si="49"/>
        <v>0</v>
      </c>
      <c r="AI138" s="273">
        <f t="shared" si="50"/>
        <v>0</v>
      </c>
      <c r="AJ138" s="273">
        <f t="shared" si="51"/>
        <v>0</v>
      </c>
      <c r="AK138" s="273">
        <f t="shared" si="52"/>
        <v>0</v>
      </c>
      <c r="AL138" s="274">
        <f t="shared" si="53"/>
        <v>0</v>
      </c>
      <c r="AN138" s="75" t="str">
        <f t="shared" si="54"/>
        <v>-</v>
      </c>
      <c r="AO138" s="75" t="str">
        <f t="shared" si="55"/>
        <v>-</v>
      </c>
      <c r="AP138" s="48">
        <f t="shared" si="58"/>
        <v>0</v>
      </c>
      <c r="AQ138" s="48">
        <f t="shared" si="56"/>
        <v>0</v>
      </c>
      <c r="AR138" s="49">
        <f t="shared" si="57"/>
        <v>0</v>
      </c>
    </row>
    <row r="139" spans="1:44" ht="15">
      <c r="A139" s="38" t="s">
        <v>4119</v>
      </c>
      <c r="B139" s="38" t="s">
        <v>28</v>
      </c>
      <c r="C139" s="38" t="s">
        <v>3771</v>
      </c>
      <c r="D139" s="38" t="s">
        <v>4120</v>
      </c>
      <c r="E139" s="38" t="s">
        <v>4121</v>
      </c>
      <c r="F139" s="38">
        <v>281</v>
      </c>
      <c r="G139" s="47">
        <f t="shared" si="39"/>
        <v>4.3727031303423702E-2</v>
      </c>
      <c r="H139" s="44">
        <v>2792</v>
      </c>
      <c r="I139" s="44"/>
      <c r="J139" s="45">
        <f t="shared" si="59"/>
        <v>2792</v>
      </c>
      <c r="K139" s="38"/>
      <c r="L139" s="38"/>
      <c r="M139" s="38"/>
      <c r="N139" s="34">
        <f>VLOOKUP(F139,'GHG Emissions Factors'!$B$2:$C$4000,2,FALSE)</f>
        <v>0</v>
      </c>
      <c r="O139" s="45">
        <f t="shared" si="40"/>
        <v>0</v>
      </c>
      <c r="P139" s="34">
        <f>IF(L139="yes", 0, _xlfn.XLOOKUP(F139, 'GHG Emissions Factors'!$B$2:$B$4000, 'GHG Emissions Factors'!$D$2:$D$4000, 0))</f>
        <v>0</v>
      </c>
      <c r="Q139" s="46"/>
      <c r="R139" s="46"/>
      <c r="S139" s="46">
        <f>ProcurementAllocationData[[#This Row],[Net MWhs Procured]]-(ProcurementAllocationData[[#This Row],[Deep Green]]+ProcurementAllocationData[[#This Row],[LocalSol]]+ProcurementAllocationData[[#This Row],[GreenAccess]])</f>
        <v>2792</v>
      </c>
      <c r="T139" s="46"/>
      <c r="U139" s="46"/>
      <c r="V139" s="46"/>
      <c r="W139" s="46"/>
      <c r="X139" s="46"/>
      <c r="Y139" s="112">
        <f t="shared" si="41"/>
        <v>122</v>
      </c>
      <c r="Z139" s="150">
        <f t="shared" si="42"/>
        <v>0</v>
      </c>
      <c r="AA139" s="150">
        <f t="shared" si="43"/>
        <v>122</v>
      </c>
      <c r="AB139" s="113">
        <f t="shared" si="44"/>
        <v>0</v>
      </c>
      <c r="AD139" s="272" t="str">
        <f t="shared" si="45"/>
        <v>Spaulding No. 1 Powerhouse - Spaulding No. 1 Powerhouse</v>
      </c>
      <c r="AE139" s="273">
        <f t="shared" si="46"/>
        <v>0</v>
      </c>
      <c r="AF139" s="273">
        <f t="shared" si="47"/>
        <v>0</v>
      </c>
      <c r="AG139" s="273">
        <f t="shared" si="48"/>
        <v>0</v>
      </c>
      <c r="AH139" s="273">
        <f t="shared" si="49"/>
        <v>0</v>
      </c>
      <c r="AI139" s="273">
        <f t="shared" si="50"/>
        <v>0</v>
      </c>
      <c r="AJ139" s="273">
        <f t="shared" si="51"/>
        <v>0</v>
      </c>
      <c r="AK139" s="273">
        <f t="shared" si="52"/>
        <v>0</v>
      </c>
      <c r="AL139" s="274">
        <f t="shared" si="53"/>
        <v>0</v>
      </c>
      <c r="AN139" s="75" t="str">
        <f t="shared" si="54"/>
        <v>-</v>
      </c>
      <c r="AO139" s="75" t="str">
        <f t="shared" si="55"/>
        <v>-</v>
      </c>
      <c r="AP139" s="48">
        <f t="shared" si="58"/>
        <v>0</v>
      </c>
      <c r="AQ139" s="48">
        <f t="shared" si="56"/>
        <v>0</v>
      </c>
      <c r="AR139" s="49">
        <f t="shared" si="57"/>
        <v>0</v>
      </c>
    </row>
    <row r="140" spans="1:44" ht="15">
      <c r="A140" s="38" t="s">
        <v>4122</v>
      </c>
      <c r="B140" s="38" t="s">
        <v>28</v>
      </c>
      <c r="C140" s="38" t="s">
        <v>3771</v>
      </c>
      <c r="D140" s="38" t="s">
        <v>4123</v>
      </c>
      <c r="E140" s="38" t="s">
        <v>4124</v>
      </c>
      <c r="F140" s="38">
        <v>282</v>
      </c>
      <c r="G140" s="47">
        <f t="shared" si="39"/>
        <v>4.3727031303423702E-2</v>
      </c>
      <c r="H140" s="44">
        <v>1476</v>
      </c>
      <c r="I140" s="44"/>
      <c r="J140" s="45">
        <f t="shared" si="59"/>
        <v>1476</v>
      </c>
      <c r="K140" s="38"/>
      <c r="L140" s="38"/>
      <c r="M140" s="38"/>
      <c r="N140" s="34">
        <f>VLOOKUP(F140,'GHG Emissions Factors'!$B$2:$C$4000,2,FALSE)</f>
        <v>0</v>
      </c>
      <c r="O140" s="45">
        <f t="shared" si="40"/>
        <v>0</v>
      </c>
      <c r="P140" s="34">
        <f>IF(L140="yes", 0, _xlfn.XLOOKUP(F140, 'GHG Emissions Factors'!$B$2:$B$4000, 'GHG Emissions Factors'!$D$2:$D$4000, 0))</f>
        <v>0</v>
      </c>
      <c r="Q140" s="46"/>
      <c r="R140" s="46"/>
      <c r="S140" s="46">
        <f>ProcurementAllocationData[[#This Row],[Net MWhs Procured]]-(ProcurementAllocationData[[#This Row],[Deep Green]]+ProcurementAllocationData[[#This Row],[LocalSol]]+ProcurementAllocationData[[#This Row],[GreenAccess]])</f>
        <v>1476</v>
      </c>
      <c r="T140" s="46"/>
      <c r="U140" s="46"/>
      <c r="V140" s="46"/>
      <c r="W140" s="46"/>
      <c r="X140" s="46"/>
      <c r="Y140" s="112">
        <f t="shared" si="41"/>
        <v>65</v>
      </c>
      <c r="Z140" s="150">
        <f t="shared" si="42"/>
        <v>0</v>
      </c>
      <c r="AA140" s="150">
        <f t="shared" si="43"/>
        <v>65</v>
      </c>
      <c r="AB140" s="113">
        <f t="shared" si="44"/>
        <v>0</v>
      </c>
      <c r="AD140" s="272" t="str">
        <f t="shared" si="45"/>
        <v>Spaulding No. 2 Powerhouse - Spaulding No. 2 Powerhouse</v>
      </c>
      <c r="AE140" s="273">
        <f t="shared" si="46"/>
        <v>0</v>
      </c>
      <c r="AF140" s="273">
        <f t="shared" si="47"/>
        <v>0</v>
      </c>
      <c r="AG140" s="273">
        <f t="shared" si="48"/>
        <v>0</v>
      </c>
      <c r="AH140" s="273">
        <f t="shared" si="49"/>
        <v>0</v>
      </c>
      <c r="AI140" s="273">
        <f t="shared" si="50"/>
        <v>0</v>
      </c>
      <c r="AJ140" s="273">
        <f t="shared" si="51"/>
        <v>0</v>
      </c>
      <c r="AK140" s="273">
        <f t="shared" si="52"/>
        <v>0</v>
      </c>
      <c r="AL140" s="274">
        <f t="shared" si="53"/>
        <v>0</v>
      </c>
      <c r="AN140" s="75" t="str">
        <f t="shared" si="54"/>
        <v>-</v>
      </c>
      <c r="AO140" s="75" t="str">
        <f t="shared" si="55"/>
        <v>-</v>
      </c>
      <c r="AP140" s="48">
        <f t="shared" si="58"/>
        <v>0</v>
      </c>
      <c r="AQ140" s="48">
        <f t="shared" si="56"/>
        <v>0</v>
      </c>
      <c r="AR140" s="49">
        <f t="shared" si="57"/>
        <v>0</v>
      </c>
    </row>
    <row r="141" spans="1:44" ht="15">
      <c r="A141" s="38" t="s">
        <v>4125</v>
      </c>
      <c r="B141" s="38" t="s">
        <v>28</v>
      </c>
      <c r="C141" s="38" t="s">
        <v>3771</v>
      </c>
      <c r="D141" s="38" t="s">
        <v>4126</v>
      </c>
      <c r="E141" s="38" t="s">
        <v>4127</v>
      </c>
      <c r="F141" s="38">
        <v>283</v>
      </c>
      <c r="G141" s="47">
        <f t="shared" si="39"/>
        <v>4.3727031303423702E-2</v>
      </c>
      <c r="H141" s="44">
        <v>3230</v>
      </c>
      <c r="I141" s="44"/>
      <c r="J141" s="45">
        <f t="shared" si="59"/>
        <v>3230</v>
      </c>
      <c r="K141" s="38"/>
      <c r="L141" s="38"/>
      <c r="M141" s="38"/>
      <c r="N141" s="34">
        <f>VLOOKUP(F141,'GHG Emissions Factors'!$B$2:$C$4000,2,FALSE)</f>
        <v>0</v>
      </c>
      <c r="O141" s="45">
        <f t="shared" si="40"/>
        <v>0</v>
      </c>
      <c r="P141" s="34">
        <f>IF(L141="yes", 0, _xlfn.XLOOKUP(F141, 'GHG Emissions Factors'!$B$2:$B$4000, 'GHG Emissions Factors'!$D$2:$D$4000, 0))</f>
        <v>0</v>
      </c>
      <c r="Q141" s="46"/>
      <c r="R141" s="46"/>
      <c r="S141" s="46">
        <f>ProcurementAllocationData[[#This Row],[Net MWhs Procured]]-(ProcurementAllocationData[[#This Row],[Deep Green]]+ProcurementAllocationData[[#This Row],[LocalSol]]+ProcurementAllocationData[[#This Row],[GreenAccess]])</f>
        <v>3230</v>
      </c>
      <c r="T141" s="46"/>
      <c r="U141" s="46"/>
      <c r="V141" s="46"/>
      <c r="W141" s="46"/>
      <c r="X141" s="46"/>
      <c r="Y141" s="112">
        <f t="shared" si="41"/>
        <v>141</v>
      </c>
      <c r="Z141" s="150">
        <f t="shared" si="42"/>
        <v>0</v>
      </c>
      <c r="AA141" s="150">
        <f t="shared" si="43"/>
        <v>141</v>
      </c>
      <c r="AB141" s="113">
        <f t="shared" si="44"/>
        <v>0</v>
      </c>
      <c r="AD141" s="272" t="str">
        <f t="shared" si="45"/>
        <v>Spaulding No. 3 Powerhouse - Spaulding No. 3 Powerhouse</v>
      </c>
      <c r="AE141" s="273">
        <f t="shared" si="46"/>
        <v>0</v>
      </c>
      <c r="AF141" s="273">
        <f t="shared" si="47"/>
        <v>0</v>
      </c>
      <c r="AG141" s="273">
        <f t="shared" si="48"/>
        <v>0</v>
      </c>
      <c r="AH141" s="273">
        <f t="shared" si="49"/>
        <v>0</v>
      </c>
      <c r="AI141" s="273">
        <f t="shared" si="50"/>
        <v>0</v>
      </c>
      <c r="AJ141" s="273">
        <f t="shared" si="51"/>
        <v>0</v>
      </c>
      <c r="AK141" s="273">
        <f t="shared" si="52"/>
        <v>0</v>
      </c>
      <c r="AL141" s="274">
        <f t="shared" si="53"/>
        <v>0</v>
      </c>
      <c r="AN141" s="75" t="str">
        <f t="shared" si="54"/>
        <v>-</v>
      </c>
      <c r="AO141" s="75" t="str">
        <f t="shared" si="55"/>
        <v>-</v>
      </c>
      <c r="AP141" s="48">
        <f t="shared" si="58"/>
        <v>0</v>
      </c>
      <c r="AQ141" s="48">
        <f t="shared" si="56"/>
        <v>0</v>
      </c>
      <c r="AR141" s="49">
        <f t="shared" si="57"/>
        <v>0</v>
      </c>
    </row>
    <row r="142" spans="1:44" ht="15">
      <c r="A142" s="38" t="s">
        <v>4128</v>
      </c>
      <c r="B142" s="38" t="s">
        <v>28</v>
      </c>
      <c r="C142" s="38" t="s">
        <v>3771</v>
      </c>
      <c r="D142" s="38" t="s">
        <v>4129</v>
      </c>
      <c r="E142" s="38" t="s">
        <v>4130</v>
      </c>
      <c r="F142" s="38">
        <v>284</v>
      </c>
      <c r="G142" s="47">
        <f t="shared" si="39"/>
        <v>4.3727031303423702E-2</v>
      </c>
      <c r="H142" s="44">
        <v>1740</v>
      </c>
      <c r="I142" s="44"/>
      <c r="J142" s="45">
        <f t="shared" si="59"/>
        <v>1740</v>
      </c>
      <c r="K142" s="38"/>
      <c r="L142" s="38"/>
      <c r="M142" s="38"/>
      <c r="N142" s="34">
        <f>VLOOKUP(F142,'GHG Emissions Factors'!$B$2:$C$4000,2,FALSE)</f>
        <v>0</v>
      </c>
      <c r="O142" s="45">
        <f t="shared" si="40"/>
        <v>0</v>
      </c>
      <c r="P142" s="34">
        <f>IF(L142="yes", 0, _xlfn.XLOOKUP(F142, 'GHG Emissions Factors'!$B$2:$B$4000, 'GHG Emissions Factors'!$D$2:$D$4000, 0))</f>
        <v>0</v>
      </c>
      <c r="Q142" s="46"/>
      <c r="R142" s="46"/>
      <c r="S142" s="46">
        <f>ProcurementAllocationData[[#This Row],[Net MWhs Procured]]-(ProcurementAllocationData[[#This Row],[Deep Green]]+ProcurementAllocationData[[#This Row],[LocalSol]]+ProcurementAllocationData[[#This Row],[GreenAccess]])</f>
        <v>1740</v>
      </c>
      <c r="T142" s="46"/>
      <c r="U142" s="46"/>
      <c r="V142" s="46"/>
      <c r="W142" s="46"/>
      <c r="X142" s="46"/>
      <c r="Y142" s="112">
        <f t="shared" si="41"/>
        <v>76</v>
      </c>
      <c r="Z142" s="150">
        <f t="shared" si="42"/>
        <v>0</v>
      </c>
      <c r="AA142" s="150">
        <f t="shared" si="43"/>
        <v>76</v>
      </c>
      <c r="AB142" s="113">
        <f t="shared" si="44"/>
        <v>0</v>
      </c>
      <c r="AD142" s="272" t="str">
        <f t="shared" si="45"/>
        <v>Spring Gap Powerhouse - Spring Gap Powerhouse</v>
      </c>
      <c r="AE142" s="273">
        <f t="shared" si="46"/>
        <v>0</v>
      </c>
      <c r="AF142" s="273">
        <f t="shared" si="47"/>
        <v>0</v>
      </c>
      <c r="AG142" s="273">
        <f t="shared" si="48"/>
        <v>0</v>
      </c>
      <c r="AH142" s="273">
        <f t="shared" si="49"/>
        <v>0</v>
      </c>
      <c r="AI142" s="273">
        <f t="shared" si="50"/>
        <v>0</v>
      </c>
      <c r="AJ142" s="273">
        <f t="shared" si="51"/>
        <v>0</v>
      </c>
      <c r="AK142" s="273">
        <f t="shared" si="52"/>
        <v>0</v>
      </c>
      <c r="AL142" s="274">
        <f t="shared" si="53"/>
        <v>0</v>
      </c>
      <c r="AN142" s="75" t="str">
        <f t="shared" si="54"/>
        <v>-</v>
      </c>
      <c r="AO142" s="75" t="str">
        <f t="shared" si="55"/>
        <v>-</v>
      </c>
      <c r="AP142" s="48">
        <f t="shared" si="58"/>
        <v>0</v>
      </c>
      <c r="AQ142" s="48">
        <f t="shared" si="56"/>
        <v>0</v>
      </c>
      <c r="AR142" s="49">
        <f t="shared" si="57"/>
        <v>0</v>
      </c>
    </row>
    <row r="143" spans="1:44" ht="15">
      <c r="A143" s="38" t="s">
        <v>2368</v>
      </c>
      <c r="B143" s="38" t="s">
        <v>30</v>
      </c>
      <c r="C143" s="38" t="s">
        <v>3771</v>
      </c>
      <c r="D143" s="38" t="s">
        <v>4131</v>
      </c>
      <c r="E143" s="38" t="s">
        <v>4132</v>
      </c>
      <c r="F143" s="38">
        <v>62113</v>
      </c>
      <c r="G143" s="47">
        <f t="shared" si="39"/>
        <v>4.3727031303423702E-2</v>
      </c>
      <c r="H143" s="44">
        <v>224245</v>
      </c>
      <c r="I143" s="44"/>
      <c r="J143" s="45">
        <f t="shared" si="59"/>
        <v>224245</v>
      </c>
      <c r="K143" s="38"/>
      <c r="L143" s="38"/>
      <c r="M143" s="38"/>
      <c r="N143" s="34">
        <f>VLOOKUP(F143,'GHG Emissions Factors'!$B$2:$C$4000,2,FALSE)</f>
        <v>0</v>
      </c>
      <c r="O143" s="45">
        <f t="shared" si="40"/>
        <v>0</v>
      </c>
      <c r="P143" s="34">
        <f>IF(L143="yes", 0, _xlfn.XLOOKUP(F143, 'GHG Emissions Factors'!$B$2:$B$4000, 'GHG Emissions Factors'!$D$2:$D$4000, 0))</f>
        <v>0</v>
      </c>
      <c r="Q143" s="46">
        <v>224245</v>
      </c>
      <c r="R143" s="46"/>
      <c r="S143" s="46">
        <f>ProcurementAllocationData[[#This Row],[Net MWhs Procured]]-(ProcurementAllocationData[[#This Row],[Deep Green]]+ProcurementAllocationData[[#This Row],[LocalSol]]+ProcurementAllocationData[[#This Row],[GreenAccess]])</f>
        <v>0</v>
      </c>
      <c r="T143" s="46"/>
      <c r="U143" s="46"/>
      <c r="V143" s="46"/>
      <c r="W143" s="46"/>
      <c r="X143" s="46"/>
      <c r="Y143" s="112">
        <f t="shared" si="41"/>
        <v>9806</v>
      </c>
      <c r="Z143" s="150">
        <f t="shared" si="42"/>
        <v>0</v>
      </c>
      <c r="AA143" s="150">
        <f t="shared" si="43"/>
        <v>9806</v>
      </c>
      <c r="AB143" s="113">
        <f t="shared" si="44"/>
        <v>0</v>
      </c>
      <c r="AD143" s="272" t="str">
        <f t="shared" si="45"/>
        <v>Strauss Wind Farm</v>
      </c>
      <c r="AE143" s="273">
        <f t="shared" si="46"/>
        <v>0</v>
      </c>
      <c r="AF143" s="273">
        <f t="shared" si="47"/>
        <v>0</v>
      </c>
      <c r="AG143" s="273">
        <f t="shared" si="48"/>
        <v>0</v>
      </c>
      <c r="AH143" s="273">
        <f t="shared" si="49"/>
        <v>0</v>
      </c>
      <c r="AI143" s="273">
        <f t="shared" si="50"/>
        <v>0</v>
      </c>
      <c r="AJ143" s="273">
        <f t="shared" si="51"/>
        <v>0</v>
      </c>
      <c r="AK143" s="273">
        <f t="shared" si="52"/>
        <v>0</v>
      </c>
      <c r="AL143" s="274">
        <f t="shared" si="53"/>
        <v>0</v>
      </c>
      <c r="AN143" s="75" t="str">
        <f t="shared" si="54"/>
        <v>-</v>
      </c>
      <c r="AO143" s="75" t="str">
        <f t="shared" si="55"/>
        <v>-</v>
      </c>
      <c r="AP143" s="48">
        <f t="shared" si="58"/>
        <v>0</v>
      </c>
      <c r="AQ143" s="48">
        <f t="shared" si="56"/>
        <v>0</v>
      </c>
      <c r="AR143" s="49">
        <f t="shared" si="57"/>
        <v>0</v>
      </c>
    </row>
    <row r="144" spans="1:44" ht="15">
      <c r="A144" s="38" t="s">
        <v>4133</v>
      </c>
      <c r="B144" s="38" t="s">
        <v>29</v>
      </c>
      <c r="C144" s="38" t="s">
        <v>3771</v>
      </c>
      <c r="D144" s="38" t="s">
        <v>4134</v>
      </c>
      <c r="E144" s="38" t="s">
        <v>4135</v>
      </c>
      <c r="F144" s="38">
        <v>57497</v>
      </c>
      <c r="G144" s="47">
        <f t="shared" si="39"/>
        <v>4.3727031303423702E-2</v>
      </c>
      <c r="H144" s="44">
        <v>2333</v>
      </c>
      <c r="I144" s="44"/>
      <c r="J144" s="45">
        <f t="shared" si="59"/>
        <v>2333</v>
      </c>
      <c r="K144" s="38"/>
      <c r="L144" s="38"/>
      <c r="M144" s="38"/>
      <c r="N144" s="34">
        <f>VLOOKUP(F144,'GHG Emissions Factors'!$B$2:$C$4000,2,FALSE)</f>
        <v>0</v>
      </c>
      <c r="O144" s="45">
        <f t="shared" si="40"/>
        <v>0</v>
      </c>
      <c r="P144" s="34">
        <f>IF(L144="yes", 0, _xlfn.XLOOKUP(F144, 'GHG Emissions Factors'!$B$2:$B$4000, 'GHG Emissions Factors'!$D$2:$D$4000, 0))</f>
        <v>0</v>
      </c>
      <c r="Q144" s="46"/>
      <c r="R144" s="46"/>
      <c r="S144" s="46">
        <f>ProcurementAllocationData[[#This Row],[Net MWhs Procured]]-(ProcurementAllocationData[[#This Row],[Deep Green]]+ProcurementAllocationData[[#This Row],[LocalSol]]+ProcurementAllocationData[[#This Row],[GreenAccess]])</f>
        <v>2333</v>
      </c>
      <c r="T144" s="46"/>
      <c r="U144" s="46"/>
      <c r="V144" s="46"/>
      <c r="W144" s="46"/>
      <c r="X144" s="46"/>
      <c r="Y144" s="112">
        <f t="shared" si="41"/>
        <v>102</v>
      </c>
      <c r="Z144" s="150">
        <f t="shared" si="42"/>
        <v>0</v>
      </c>
      <c r="AA144" s="150">
        <f t="shared" si="43"/>
        <v>102</v>
      </c>
      <c r="AB144" s="113">
        <f t="shared" si="44"/>
        <v>0</v>
      </c>
      <c r="AD144" s="272" t="str">
        <f t="shared" si="45"/>
        <v>Stroud Solar Station - Stroud Solar Station</v>
      </c>
      <c r="AE144" s="273">
        <f t="shared" si="46"/>
        <v>0</v>
      </c>
      <c r="AF144" s="273">
        <f t="shared" si="47"/>
        <v>0</v>
      </c>
      <c r="AG144" s="273">
        <f t="shared" si="48"/>
        <v>0</v>
      </c>
      <c r="AH144" s="273">
        <f t="shared" si="49"/>
        <v>0</v>
      </c>
      <c r="AI144" s="273">
        <f t="shared" si="50"/>
        <v>0</v>
      </c>
      <c r="AJ144" s="273">
        <f t="shared" si="51"/>
        <v>0</v>
      </c>
      <c r="AK144" s="273">
        <f t="shared" si="52"/>
        <v>0</v>
      </c>
      <c r="AL144" s="274">
        <f t="shared" si="53"/>
        <v>0</v>
      </c>
      <c r="AN144" s="75" t="str">
        <f t="shared" si="54"/>
        <v>-</v>
      </c>
      <c r="AO144" s="75" t="str">
        <f t="shared" si="55"/>
        <v>-</v>
      </c>
      <c r="AP144" s="48">
        <f t="shared" si="58"/>
        <v>0</v>
      </c>
      <c r="AQ144" s="48">
        <f t="shared" si="56"/>
        <v>0</v>
      </c>
      <c r="AR144" s="49">
        <f t="shared" si="57"/>
        <v>0</v>
      </c>
    </row>
    <row r="145" spans="1:44" ht="15">
      <c r="A145" s="38" t="s">
        <v>4136</v>
      </c>
      <c r="B145" s="38" t="s">
        <v>29</v>
      </c>
      <c r="C145" s="38" t="s">
        <v>3771</v>
      </c>
      <c r="D145" s="38" t="s">
        <v>4137</v>
      </c>
      <c r="E145" s="38" t="s">
        <v>4138</v>
      </c>
      <c r="F145" s="38">
        <v>57360</v>
      </c>
      <c r="G145" s="47">
        <f t="shared" si="39"/>
        <v>4.3727031303423702E-2</v>
      </c>
      <c r="H145" s="44">
        <v>11360</v>
      </c>
      <c r="I145" s="44"/>
      <c r="J145" s="45">
        <f t="shared" si="59"/>
        <v>11360</v>
      </c>
      <c r="K145" s="38"/>
      <c r="L145" s="38"/>
      <c r="M145" s="38"/>
      <c r="N145" s="34">
        <f>VLOOKUP(F145,'GHG Emissions Factors'!$B$2:$C$4000,2,FALSE)</f>
        <v>0</v>
      </c>
      <c r="O145" s="45">
        <f t="shared" si="40"/>
        <v>0</v>
      </c>
      <c r="P145" s="34">
        <f>IF(L145="yes", 0, _xlfn.XLOOKUP(F145, 'GHG Emissions Factors'!$B$2:$B$4000, 'GHG Emissions Factors'!$D$2:$D$4000, 0))</f>
        <v>0</v>
      </c>
      <c r="Q145" s="46"/>
      <c r="R145" s="46"/>
      <c r="S145" s="46">
        <f>ProcurementAllocationData[[#This Row],[Net MWhs Procured]]-(ProcurementAllocationData[[#This Row],[Deep Green]]+ProcurementAllocationData[[#This Row],[LocalSol]]+ProcurementAllocationData[[#This Row],[GreenAccess]])</f>
        <v>11360</v>
      </c>
      <c r="T145" s="46"/>
      <c r="U145" s="46"/>
      <c r="V145" s="46"/>
      <c r="W145" s="46"/>
      <c r="X145" s="46"/>
      <c r="Y145" s="112">
        <f t="shared" si="41"/>
        <v>497</v>
      </c>
      <c r="Z145" s="150">
        <f t="shared" si="42"/>
        <v>0</v>
      </c>
      <c r="AA145" s="150">
        <f t="shared" si="43"/>
        <v>497</v>
      </c>
      <c r="AB145" s="113">
        <f t="shared" si="44"/>
        <v>0</v>
      </c>
      <c r="AD145" s="272" t="str">
        <f t="shared" si="45"/>
        <v>Sun City Project LLC - Sun City</v>
      </c>
      <c r="AE145" s="273">
        <f t="shared" si="46"/>
        <v>0</v>
      </c>
      <c r="AF145" s="273">
        <f t="shared" si="47"/>
        <v>0</v>
      </c>
      <c r="AG145" s="273">
        <f t="shared" si="48"/>
        <v>0</v>
      </c>
      <c r="AH145" s="273">
        <f t="shared" si="49"/>
        <v>0</v>
      </c>
      <c r="AI145" s="273">
        <f t="shared" si="50"/>
        <v>0</v>
      </c>
      <c r="AJ145" s="273">
        <f t="shared" si="51"/>
        <v>0</v>
      </c>
      <c r="AK145" s="273">
        <f t="shared" si="52"/>
        <v>0</v>
      </c>
      <c r="AL145" s="274">
        <f t="shared" si="53"/>
        <v>0</v>
      </c>
      <c r="AN145" s="75" t="str">
        <f t="shared" si="54"/>
        <v>-</v>
      </c>
      <c r="AO145" s="75" t="str">
        <f t="shared" si="55"/>
        <v>-</v>
      </c>
      <c r="AP145" s="48">
        <f t="shared" si="58"/>
        <v>0</v>
      </c>
      <c r="AQ145" s="48">
        <f t="shared" si="56"/>
        <v>0</v>
      </c>
      <c r="AR145" s="49">
        <f t="shared" si="57"/>
        <v>0</v>
      </c>
    </row>
    <row r="146" spans="1:44" ht="15">
      <c r="A146" s="38" t="s">
        <v>4139</v>
      </c>
      <c r="B146" s="38" t="s">
        <v>29</v>
      </c>
      <c r="C146" s="38" t="s">
        <v>3771</v>
      </c>
      <c r="D146" s="38" t="s">
        <v>4140</v>
      </c>
      <c r="E146" s="38" t="s">
        <v>4141</v>
      </c>
      <c r="F146" s="38">
        <v>10437</v>
      </c>
      <c r="G146" s="47">
        <f t="shared" si="39"/>
        <v>4.3727031303423702E-2</v>
      </c>
      <c r="H146" s="44">
        <v>17218</v>
      </c>
      <c r="I146" s="44"/>
      <c r="J146" s="45">
        <f t="shared" si="59"/>
        <v>17218</v>
      </c>
      <c r="K146" s="38"/>
      <c r="L146" s="38"/>
      <c r="M146" s="38"/>
      <c r="N146" s="34">
        <f>VLOOKUP(F146,'GHG Emissions Factors'!$B$2:$C$4000,2,FALSE)</f>
        <v>0</v>
      </c>
      <c r="O146" s="45">
        <f t="shared" si="40"/>
        <v>0</v>
      </c>
      <c r="P146" s="34">
        <f>IF(L146="yes", 0, _xlfn.XLOOKUP(F146, 'GHG Emissions Factors'!$B$2:$B$4000, 'GHG Emissions Factors'!$D$2:$D$4000, 0))</f>
        <v>0</v>
      </c>
      <c r="Q146" s="46"/>
      <c r="R146" s="46"/>
      <c r="S146" s="46">
        <f>ProcurementAllocationData[[#This Row],[Net MWhs Procured]]-(ProcurementAllocationData[[#This Row],[Deep Green]]+ProcurementAllocationData[[#This Row],[LocalSol]]+ProcurementAllocationData[[#This Row],[GreenAccess]])</f>
        <v>17218</v>
      </c>
      <c r="T146" s="46"/>
      <c r="U146" s="46"/>
      <c r="V146" s="46"/>
      <c r="W146" s="46"/>
      <c r="X146" s="46"/>
      <c r="Y146" s="112">
        <f t="shared" si="41"/>
        <v>753</v>
      </c>
      <c r="Z146" s="150">
        <f t="shared" si="42"/>
        <v>0</v>
      </c>
      <c r="AA146" s="150">
        <f t="shared" si="43"/>
        <v>753</v>
      </c>
      <c r="AB146" s="113">
        <f t="shared" si="44"/>
        <v>0</v>
      </c>
      <c r="AD146" s="272" t="str">
        <f t="shared" si="45"/>
        <v>Sunray 2- SEGS II - Sunray 2- SEGS II</v>
      </c>
      <c r="AE146" s="273">
        <f t="shared" si="46"/>
        <v>0</v>
      </c>
      <c r="AF146" s="273">
        <f t="shared" si="47"/>
        <v>0</v>
      </c>
      <c r="AG146" s="273">
        <f t="shared" si="48"/>
        <v>0</v>
      </c>
      <c r="AH146" s="273">
        <f t="shared" si="49"/>
        <v>0</v>
      </c>
      <c r="AI146" s="273">
        <f t="shared" si="50"/>
        <v>0</v>
      </c>
      <c r="AJ146" s="273">
        <f t="shared" si="51"/>
        <v>0</v>
      </c>
      <c r="AK146" s="273">
        <f t="shared" si="52"/>
        <v>0</v>
      </c>
      <c r="AL146" s="274">
        <f t="shared" si="53"/>
        <v>0</v>
      </c>
      <c r="AN146" s="75" t="str">
        <f t="shared" si="54"/>
        <v>-</v>
      </c>
      <c r="AO146" s="75" t="str">
        <f t="shared" si="55"/>
        <v>-</v>
      </c>
      <c r="AP146" s="48">
        <f t="shared" si="58"/>
        <v>0</v>
      </c>
      <c r="AQ146" s="48">
        <f t="shared" si="56"/>
        <v>0</v>
      </c>
      <c r="AR146" s="49">
        <f t="shared" si="57"/>
        <v>0</v>
      </c>
    </row>
    <row r="147" spans="1:44" ht="15">
      <c r="A147" s="38" t="s">
        <v>4142</v>
      </c>
      <c r="B147" s="38" t="s">
        <v>30</v>
      </c>
      <c r="C147" s="38" t="s">
        <v>3849</v>
      </c>
      <c r="D147" s="38" t="s">
        <v>4143</v>
      </c>
      <c r="E147" s="38" t="s">
        <v>4144</v>
      </c>
      <c r="F147" s="38">
        <v>64066</v>
      </c>
      <c r="G147" s="47">
        <f t="shared" si="39"/>
        <v>6.5978850116714893E-2</v>
      </c>
      <c r="H147" s="44">
        <v>207745</v>
      </c>
      <c r="I147" s="44"/>
      <c r="J147" s="45">
        <f t="shared" si="59"/>
        <v>207745</v>
      </c>
      <c r="K147" s="38"/>
      <c r="L147" s="38"/>
      <c r="M147" s="38"/>
      <c r="N147" s="34">
        <f>VLOOKUP(F147,'GHG Emissions Factors'!$B$2:$C$4000,2,FALSE)</f>
        <v>0</v>
      </c>
      <c r="O147" s="45">
        <f t="shared" si="40"/>
        <v>0</v>
      </c>
      <c r="P147" s="34">
        <f>IF(L147="yes", 0, _xlfn.XLOOKUP(F147, 'GHG Emissions Factors'!$B$2:$B$4000, 'GHG Emissions Factors'!$D$2:$D$4000, 0))</f>
        <v>0</v>
      </c>
      <c r="Q147" s="46"/>
      <c r="R147" s="46"/>
      <c r="S147" s="46">
        <f>ProcurementAllocationData[[#This Row],[Net MWhs Procured]]-(ProcurementAllocationData[[#This Row],[Deep Green]]+ProcurementAllocationData[[#This Row],[LocalSol]]+ProcurementAllocationData[[#This Row],[GreenAccess]])</f>
        <v>207745</v>
      </c>
      <c r="T147" s="46"/>
      <c r="U147" s="46"/>
      <c r="V147" s="46"/>
      <c r="W147" s="46"/>
      <c r="X147" s="46"/>
      <c r="Y147" s="112">
        <f t="shared" si="41"/>
        <v>13707</v>
      </c>
      <c r="Z147" s="150">
        <f t="shared" si="42"/>
        <v>0</v>
      </c>
      <c r="AA147" s="150">
        <f t="shared" si="43"/>
        <v>13707</v>
      </c>
      <c r="AB147" s="113">
        <f t="shared" si="44"/>
        <v>0</v>
      </c>
      <c r="AD147" s="272" t="str">
        <f t="shared" si="45"/>
        <v>Tecolote Wind - Tecolote Wind LLC</v>
      </c>
      <c r="AE147" s="273">
        <f t="shared" si="46"/>
        <v>0</v>
      </c>
      <c r="AF147" s="273">
        <f t="shared" si="47"/>
        <v>0</v>
      </c>
      <c r="AG147" s="273">
        <f t="shared" si="48"/>
        <v>0</v>
      </c>
      <c r="AH147" s="273">
        <f t="shared" si="49"/>
        <v>0</v>
      </c>
      <c r="AI147" s="273">
        <f t="shared" si="50"/>
        <v>0</v>
      </c>
      <c r="AJ147" s="273">
        <f t="shared" si="51"/>
        <v>0</v>
      </c>
      <c r="AK147" s="273">
        <f t="shared" si="52"/>
        <v>0</v>
      </c>
      <c r="AL147" s="274">
        <f t="shared" si="53"/>
        <v>0</v>
      </c>
      <c r="AN147" s="75" t="str">
        <f t="shared" si="54"/>
        <v>-</v>
      </c>
      <c r="AO147" s="75" t="str">
        <f t="shared" si="55"/>
        <v>-</v>
      </c>
      <c r="AP147" s="48">
        <f t="shared" si="58"/>
        <v>0</v>
      </c>
      <c r="AQ147" s="48">
        <f t="shared" si="56"/>
        <v>0</v>
      </c>
      <c r="AR147" s="49">
        <f t="shared" si="57"/>
        <v>0</v>
      </c>
    </row>
    <row r="148" spans="1:44" ht="15">
      <c r="A148" s="38" t="s">
        <v>4145</v>
      </c>
      <c r="B148" s="38" t="s">
        <v>28</v>
      </c>
      <c r="C148" s="38" t="s">
        <v>3771</v>
      </c>
      <c r="D148" s="38" t="s">
        <v>4146</v>
      </c>
      <c r="E148" s="38" t="s">
        <v>4147</v>
      </c>
      <c r="F148" s="38">
        <v>54308</v>
      </c>
      <c r="G148" s="47">
        <f t="shared" si="39"/>
        <v>4.3727031303423702E-2</v>
      </c>
      <c r="H148" s="44">
        <v>587</v>
      </c>
      <c r="I148" s="44"/>
      <c r="J148" s="45">
        <f t="shared" si="59"/>
        <v>587</v>
      </c>
      <c r="K148" s="38"/>
      <c r="L148" s="38"/>
      <c r="M148" s="38"/>
      <c r="N148" s="34">
        <f>VLOOKUP(F148,'GHG Emissions Factors'!$B$2:$C$4000,2,FALSE)</f>
        <v>0</v>
      </c>
      <c r="O148" s="45">
        <f t="shared" si="40"/>
        <v>0</v>
      </c>
      <c r="P148" s="34">
        <f>IF(L148="yes", 0, _xlfn.XLOOKUP(F148, 'GHG Emissions Factors'!$B$2:$B$4000, 'GHG Emissions Factors'!$D$2:$D$4000, 0))</f>
        <v>0</v>
      </c>
      <c r="Q148" s="46"/>
      <c r="R148" s="46"/>
      <c r="S148" s="46">
        <f>ProcurementAllocationData[[#This Row],[Net MWhs Procured]]-(ProcurementAllocationData[[#This Row],[Deep Green]]+ProcurementAllocationData[[#This Row],[LocalSol]]+ProcurementAllocationData[[#This Row],[GreenAccess]])</f>
        <v>587</v>
      </c>
      <c r="T148" s="46"/>
      <c r="U148" s="46"/>
      <c r="V148" s="46"/>
      <c r="W148" s="46"/>
      <c r="X148" s="46"/>
      <c r="Y148" s="112">
        <f t="shared" si="41"/>
        <v>26</v>
      </c>
      <c r="Z148" s="150">
        <f t="shared" si="42"/>
        <v>0</v>
      </c>
      <c r="AA148" s="150">
        <f t="shared" si="43"/>
        <v>26</v>
      </c>
      <c r="AB148" s="113">
        <f t="shared" si="44"/>
        <v>0</v>
      </c>
      <c r="AD148" s="272" t="str">
        <f t="shared" si="45"/>
        <v>Three Forks Water Power Project - Three Forks Water Power Project</v>
      </c>
      <c r="AE148" s="273">
        <f t="shared" si="46"/>
        <v>0</v>
      </c>
      <c r="AF148" s="273">
        <f t="shared" si="47"/>
        <v>0</v>
      </c>
      <c r="AG148" s="273">
        <f t="shared" si="48"/>
        <v>0</v>
      </c>
      <c r="AH148" s="273">
        <f t="shared" si="49"/>
        <v>0</v>
      </c>
      <c r="AI148" s="273">
        <f t="shared" si="50"/>
        <v>0</v>
      </c>
      <c r="AJ148" s="273">
        <f t="shared" si="51"/>
        <v>0</v>
      </c>
      <c r="AK148" s="273">
        <f t="shared" si="52"/>
        <v>0</v>
      </c>
      <c r="AL148" s="274">
        <f t="shared" si="53"/>
        <v>0</v>
      </c>
      <c r="AN148" s="75" t="str">
        <f t="shared" si="54"/>
        <v>-</v>
      </c>
      <c r="AO148" s="75" t="str">
        <f t="shared" si="55"/>
        <v>-</v>
      </c>
      <c r="AP148" s="48">
        <f t="shared" si="58"/>
        <v>0</v>
      </c>
      <c r="AQ148" s="48">
        <f t="shared" si="56"/>
        <v>0</v>
      </c>
      <c r="AR148" s="49">
        <f t="shared" si="57"/>
        <v>0</v>
      </c>
    </row>
    <row r="149" spans="1:44" ht="15">
      <c r="A149" s="38" t="s">
        <v>4148</v>
      </c>
      <c r="B149" s="38" t="s">
        <v>28</v>
      </c>
      <c r="C149" s="38" t="s">
        <v>3771</v>
      </c>
      <c r="D149" s="38" t="s">
        <v>4149</v>
      </c>
      <c r="E149" s="38" t="s">
        <v>4150</v>
      </c>
      <c r="F149" s="38">
        <v>714</v>
      </c>
      <c r="G149" s="47">
        <f t="shared" si="39"/>
        <v>4.3727031303423702E-2</v>
      </c>
      <c r="H149" s="44">
        <v>320</v>
      </c>
      <c r="I149" s="44"/>
      <c r="J149" s="45">
        <f t="shared" si="59"/>
        <v>320</v>
      </c>
      <c r="K149" s="38"/>
      <c r="L149" s="38"/>
      <c r="M149" s="38"/>
      <c r="N149" s="34">
        <f>VLOOKUP(F149,'GHG Emissions Factors'!$B$2:$C$4000,2,FALSE)</f>
        <v>0</v>
      </c>
      <c r="O149" s="45">
        <f t="shared" si="40"/>
        <v>0</v>
      </c>
      <c r="P149" s="34">
        <f>IF(L149="yes", 0, _xlfn.XLOOKUP(F149, 'GHG Emissions Factors'!$B$2:$B$4000, 'GHG Emissions Factors'!$D$2:$D$4000, 0))</f>
        <v>0</v>
      </c>
      <c r="Q149" s="46"/>
      <c r="R149" s="46"/>
      <c r="S149" s="46">
        <f>ProcurementAllocationData[[#This Row],[Net MWhs Procured]]-(ProcurementAllocationData[[#This Row],[Deep Green]]+ProcurementAllocationData[[#This Row],[LocalSol]]+ProcurementAllocationData[[#This Row],[GreenAccess]])</f>
        <v>320</v>
      </c>
      <c r="T149" s="46"/>
      <c r="U149" s="46"/>
      <c r="V149" s="46"/>
      <c r="W149" s="46"/>
      <c r="X149" s="46"/>
      <c r="Y149" s="112">
        <f t="shared" si="41"/>
        <v>14</v>
      </c>
      <c r="Z149" s="150">
        <f t="shared" si="42"/>
        <v>0</v>
      </c>
      <c r="AA149" s="150">
        <f t="shared" si="43"/>
        <v>14</v>
      </c>
      <c r="AB149" s="113">
        <f t="shared" si="44"/>
        <v>0</v>
      </c>
      <c r="AD149" s="272" t="str">
        <f t="shared" si="45"/>
        <v>Toadtown Powerhouse - Toadtown Powerhouse</v>
      </c>
      <c r="AE149" s="273">
        <f t="shared" si="46"/>
        <v>0</v>
      </c>
      <c r="AF149" s="273">
        <f t="shared" si="47"/>
        <v>0</v>
      </c>
      <c r="AG149" s="273">
        <f t="shared" si="48"/>
        <v>0</v>
      </c>
      <c r="AH149" s="273">
        <f t="shared" si="49"/>
        <v>0</v>
      </c>
      <c r="AI149" s="273">
        <f t="shared" si="50"/>
        <v>0</v>
      </c>
      <c r="AJ149" s="273">
        <f t="shared" si="51"/>
        <v>0</v>
      </c>
      <c r="AK149" s="273">
        <f t="shared" si="52"/>
        <v>0</v>
      </c>
      <c r="AL149" s="274">
        <f t="shared" si="53"/>
        <v>0</v>
      </c>
      <c r="AN149" s="75" t="str">
        <f t="shared" si="54"/>
        <v>-</v>
      </c>
      <c r="AO149" s="75" t="str">
        <f t="shared" si="55"/>
        <v>-</v>
      </c>
      <c r="AP149" s="48">
        <f t="shared" si="58"/>
        <v>0</v>
      </c>
      <c r="AQ149" s="48">
        <f t="shared" si="56"/>
        <v>0</v>
      </c>
      <c r="AR149" s="49">
        <f t="shared" si="57"/>
        <v>0</v>
      </c>
    </row>
    <row r="150" spans="1:44" ht="15">
      <c r="A150" s="38" t="s">
        <v>4151</v>
      </c>
      <c r="B150" s="38" t="s">
        <v>29</v>
      </c>
      <c r="C150" s="38" t="s">
        <v>3771</v>
      </c>
      <c r="D150" s="38" t="s">
        <v>4152</v>
      </c>
      <c r="E150" s="38" t="s">
        <v>4153</v>
      </c>
      <c r="F150" s="38">
        <v>57695</v>
      </c>
      <c r="G150" s="47">
        <f t="shared" si="39"/>
        <v>4.3727031303423702E-2</v>
      </c>
      <c r="H150" s="44">
        <v>628</v>
      </c>
      <c r="I150" s="44"/>
      <c r="J150" s="45">
        <f t="shared" si="59"/>
        <v>628</v>
      </c>
      <c r="K150" s="38"/>
      <c r="L150" s="38"/>
      <c r="M150" s="38"/>
      <c r="N150" s="34">
        <f>VLOOKUP(F150,'GHG Emissions Factors'!$B$2:$C$4000,2,FALSE)</f>
        <v>0</v>
      </c>
      <c r="O150" s="45">
        <f t="shared" si="40"/>
        <v>0</v>
      </c>
      <c r="P150" s="34">
        <f>IF(L150="yes", 0, _xlfn.XLOOKUP(F150, 'GHG Emissions Factors'!$B$2:$B$4000, 'GHG Emissions Factors'!$D$2:$D$4000, 0))</f>
        <v>0</v>
      </c>
      <c r="Q150" s="46"/>
      <c r="R150" s="46"/>
      <c r="S150" s="46">
        <f>ProcurementAllocationData[[#This Row],[Net MWhs Procured]]-(ProcurementAllocationData[[#This Row],[Deep Green]]+ProcurementAllocationData[[#This Row],[LocalSol]]+ProcurementAllocationData[[#This Row],[GreenAccess]])</f>
        <v>628</v>
      </c>
      <c r="T150" s="46"/>
      <c r="U150" s="46"/>
      <c r="V150" s="46"/>
      <c r="W150" s="46"/>
      <c r="X150" s="46"/>
      <c r="Y150" s="112">
        <f t="shared" si="41"/>
        <v>27</v>
      </c>
      <c r="Z150" s="150">
        <f t="shared" si="42"/>
        <v>0</v>
      </c>
      <c r="AA150" s="150">
        <f t="shared" si="43"/>
        <v>27</v>
      </c>
      <c r="AB150" s="113">
        <f t="shared" si="44"/>
        <v>0</v>
      </c>
      <c r="AD150" s="272" t="str">
        <f t="shared" si="45"/>
        <v>Topaz Solar Farms LLC - Topaz 10-16</v>
      </c>
      <c r="AE150" s="273">
        <f t="shared" si="46"/>
        <v>0</v>
      </c>
      <c r="AF150" s="273">
        <f t="shared" si="47"/>
        <v>0</v>
      </c>
      <c r="AG150" s="273">
        <f t="shared" si="48"/>
        <v>0</v>
      </c>
      <c r="AH150" s="273">
        <f t="shared" si="49"/>
        <v>0</v>
      </c>
      <c r="AI150" s="273">
        <f t="shared" si="50"/>
        <v>0</v>
      </c>
      <c r="AJ150" s="273">
        <f t="shared" si="51"/>
        <v>0</v>
      </c>
      <c r="AK150" s="273">
        <f t="shared" si="52"/>
        <v>0</v>
      </c>
      <c r="AL150" s="274">
        <f t="shared" si="53"/>
        <v>0</v>
      </c>
      <c r="AN150" s="75" t="str">
        <f t="shared" si="54"/>
        <v>-</v>
      </c>
      <c r="AO150" s="75" t="str">
        <f t="shared" si="55"/>
        <v>-</v>
      </c>
      <c r="AP150" s="48">
        <f t="shared" si="58"/>
        <v>0</v>
      </c>
      <c r="AQ150" s="48">
        <f t="shared" si="56"/>
        <v>0</v>
      </c>
      <c r="AR150" s="49">
        <f t="shared" si="57"/>
        <v>0</v>
      </c>
    </row>
    <row r="151" spans="1:44" ht="15">
      <c r="A151" s="38" t="s">
        <v>4154</v>
      </c>
      <c r="B151" s="38" t="s">
        <v>29</v>
      </c>
      <c r="C151" s="38" t="s">
        <v>3771</v>
      </c>
      <c r="D151" s="38" t="s">
        <v>4155</v>
      </c>
      <c r="E151" s="38" t="s">
        <v>4153</v>
      </c>
      <c r="F151" s="38">
        <v>57695</v>
      </c>
      <c r="G151" s="47">
        <f t="shared" si="39"/>
        <v>4.3727031303423702E-2</v>
      </c>
      <c r="H151" s="44">
        <v>20051</v>
      </c>
      <c r="I151" s="44"/>
      <c r="J151" s="45">
        <f t="shared" si="59"/>
        <v>20051</v>
      </c>
      <c r="K151" s="38"/>
      <c r="L151" s="38"/>
      <c r="M151" s="38"/>
      <c r="N151" s="34">
        <f>VLOOKUP(F151,'GHG Emissions Factors'!$B$2:$C$4000,2,FALSE)</f>
        <v>0</v>
      </c>
      <c r="O151" s="45">
        <f t="shared" si="40"/>
        <v>0</v>
      </c>
      <c r="P151" s="34">
        <f>IF(L151="yes", 0, _xlfn.XLOOKUP(F151, 'GHG Emissions Factors'!$B$2:$B$4000, 'GHG Emissions Factors'!$D$2:$D$4000, 0))</f>
        <v>0</v>
      </c>
      <c r="Q151" s="46"/>
      <c r="R151" s="46"/>
      <c r="S151" s="46">
        <f>ProcurementAllocationData[[#This Row],[Net MWhs Procured]]-(ProcurementAllocationData[[#This Row],[Deep Green]]+ProcurementAllocationData[[#This Row],[LocalSol]]+ProcurementAllocationData[[#This Row],[GreenAccess]])</f>
        <v>20051</v>
      </c>
      <c r="T151" s="46"/>
      <c r="U151" s="46"/>
      <c r="V151" s="46"/>
      <c r="W151" s="46"/>
      <c r="X151" s="46"/>
      <c r="Y151" s="112">
        <f t="shared" si="41"/>
        <v>877</v>
      </c>
      <c r="Z151" s="150">
        <f t="shared" si="42"/>
        <v>0</v>
      </c>
      <c r="AA151" s="150">
        <f t="shared" si="43"/>
        <v>877</v>
      </c>
      <c r="AB151" s="113">
        <f t="shared" si="44"/>
        <v>0</v>
      </c>
      <c r="AD151" s="272" t="str">
        <f t="shared" si="45"/>
        <v>Topaz Solar Farms LLC - Topaz 1-9</v>
      </c>
      <c r="AE151" s="273">
        <f t="shared" si="46"/>
        <v>0</v>
      </c>
      <c r="AF151" s="273">
        <f t="shared" si="47"/>
        <v>0</v>
      </c>
      <c r="AG151" s="273">
        <f t="shared" si="48"/>
        <v>0</v>
      </c>
      <c r="AH151" s="273">
        <f t="shared" si="49"/>
        <v>0</v>
      </c>
      <c r="AI151" s="273">
        <f t="shared" si="50"/>
        <v>0</v>
      </c>
      <c r="AJ151" s="273">
        <f t="shared" si="51"/>
        <v>0</v>
      </c>
      <c r="AK151" s="273">
        <f t="shared" si="52"/>
        <v>0</v>
      </c>
      <c r="AL151" s="274">
        <f t="shared" si="53"/>
        <v>0</v>
      </c>
      <c r="AN151" s="75" t="str">
        <f t="shared" si="54"/>
        <v>-</v>
      </c>
      <c r="AO151" s="75" t="str">
        <f t="shared" si="55"/>
        <v>-</v>
      </c>
      <c r="AP151" s="48">
        <f t="shared" si="58"/>
        <v>0</v>
      </c>
      <c r="AQ151" s="48">
        <f t="shared" si="56"/>
        <v>0</v>
      </c>
      <c r="AR151" s="49">
        <f t="shared" si="57"/>
        <v>0</v>
      </c>
    </row>
    <row r="152" spans="1:44" ht="15">
      <c r="A152" s="38" t="s">
        <v>4156</v>
      </c>
      <c r="B152" s="38" t="s">
        <v>29</v>
      </c>
      <c r="C152" s="38" t="s">
        <v>3771</v>
      </c>
      <c r="D152" s="38" t="s">
        <v>4157</v>
      </c>
      <c r="E152" s="38" t="s">
        <v>4153</v>
      </c>
      <c r="F152" s="38">
        <v>57695</v>
      </c>
      <c r="G152" s="47">
        <f t="shared" si="39"/>
        <v>4.3727031303423702E-2</v>
      </c>
      <c r="H152" s="44">
        <v>3333</v>
      </c>
      <c r="I152" s="44"/>
      <c r="J152" s="45">
        <f t="shared" si="59"/>
        <v>3333</v>
      </c>
      <c r="K152" s="38"/>
      <c r="L152" s="38"/>
      <c r="M152" s="38"/>
      <c r="N152" s="34">
        <f>VLOOKUP(F152,'GHG Emissions Factors'!$B$2:$C$4000,2,FALSE)</f>
        <v>0</v>
      </c>
      <c r="O152" s="45">
        <f t="shared" si="40"/>
        <v>0</v>
      </c>
      <c r="P152" s="34">
        <f>IF(L152="yes", 0, _xlfn.XLOOKUP(F152, 'GHG Emissions Factors'!$B$2:$B$4000, 'GHG Emissions Factors'!$D$2:$D$4000, 0))</f>
        <v>0</v>
      </c>
      <c r="Q152" s="46"/>
      <c r="R152" s="46"/>
      <c r="S152" s="46">
        <f>ProcurementAllocationData[[#This Row],[Net MWhs Procured]]-(ProcurementAllocationData[[#This Row],[Deep Green]]+ProcurementAllocationData[[#This Row],[LocalSol]]+ProcurementAllocationData[[#This Row],[GreenAccess]])</f>
        <v>3333</v>
      </c>
      <c r="T152" s="46"/>
      <c r="U152" s="46"/>
      <c r="V152" s="46"/>
      <c r="W152" s="46"/>
      <c r="X152" s="46"/>
      <c r="Y152" s="112">
        <f t="shared" si="41"/>
        <v>146</v>
      </c>
      <c r="Z152" s="150">
        <f t="shared" si="42"/>
        <v>0</v>
      </c>
      <c r="AA152" s="150">
        <f t="shared" si="43"/>
        <v>146</v>
      </c>
      <c r="AB152" s="113">
        <f t="shared" si="44"/>
        <v>0</v>
      </c>
      <c r="AD152" s="272" t="str">
        <f t="shared" si="45"/>
        <v>Topaz Solar Farms LLC - Topaz 21 - 22</v>
      </c>
      <c r="AE152" s="273">
        <f t="shared" si="46"/>
        <v>0</v>
      </c>
      <c r="AF152" s="273">
        <f t="shared" si="47"/>
        <v>0</v>
      </c>
      <c r="AG152" s="273">
        <f t="shared" si="48"/>
        <v>0</v>
      </c>
      <c r="AH152" s="273">
        <f t="shared" si="49"/>
        <v>0</v>
      </c>
      <c r="AI152" s="273">
        <f t="shared" si="50"/>
        <v>0</v>
      </c>
      <c r="AJ152" s="273">
        <f t="shared" si="51"/>
        <v>0</v>
      </c>
      <c r="AK152" s="273">
        <f t="shared" si="52"/>
        <v>0</v>
      </c>
      <c r="AL152" s="274">
        <f t="shared" si="53"/>
        <v>0</v>
      </c>
      <c r="AN152" s="75" t="str">
        <f t="shared" si="54"/>
        <v>-</v>
      </c>
      <c r="AO152" s="75" t="str">
        <f t="shared" si="55"/>
        <v>-</v>
      </c>
      <c r="AP152" s="48">
        <f t="shared" si="58"/>
        <v>0</v>
      </c>
      <c r="AQ152" s="48">
        <f t="shared" si="56"/>
        <v>0</v>
      </c>
      <c r="AR152" s="49">
        <f t="shared" si="57"/>
        <v>0</v>
      </c>
    </row>
    <row r="153" spans="1:44" ht="15">
      <c r="A153" s="38" t="s">
        <v>4158</v>
      </c>
      <c r="B153" s="38" t="s">
        <v>29</v>
      </c>
      <c r="C153" s="38" t="s">
        <v>3855</v>
      </c>
      <c r="D153" s="38" t="s">
        <v>4159</v>
      </c>
      <c r="E153" s="38" t="s">
        <v>4160</v>
      </c>
      <c r="F153" s="38">
        <v>60654</v>
      </c>
      <c r="G153" s="47">
        <f t="shared" si="39"/>
        <v>6.5978850116714893E-2</v>
      </c>
      <c r="H153" s="44">
        <v>98775</v>
      </c>
      <c r="I153" s="44"/>
      <c r="J153" s="45">
        <f t="shared" si="59"/>
        <v>98775</v>
      </c>
      <c r="K153" s="38"/>
      <c r="L153" s="38"/>
      <c r="M153" s="38"/>
      <c r="N153" s="34">
        <f>VLOOKUP(F153,'GHG Emissions Factors'!$B$2:$C$4000,2,FALSE)</f>
        <v>0</v>
      </c>
      <c r="O153" s="45">
        <f t="shared" si="40"/>
        <v>0</v>
      </c>
      <c r="P153" s="34">
        <f>IF(L153="yes", 0, _xlfn.XLOOKUP(F153, 'GHG Emissions Factors'!$B$2:$B$4000, 'GHG Emissions Factors'!$D$2:$D$4000, 0))</f>
        <v>0</v>
      </c>
      <c r="Q153" s="46"/>
      <c r="R153" s="46"/>
      <c r="S153" s="46">
        <f>ProcurementAllocationData[[#This Row],[Net MWhs Procured]]-(ProcurementAllocationData[[#This Row],[Deep Green]]+ProcurementAllocationData[[#This Row],[LocalSol]]+ProcurementAllocationData[[#This Row],[GreenAccess]])</f>
        <v>98775</v>
      </c>
      <c r="T153" s="46"/>
      <c r="U153" s="46"/>
      <c r="V153" s="46"/>
      <c r="W153" s="46"/>
      <c r="X153" s="46"/>
      <c r="Y153" s="112">
        <f t="shared" si="41"/>
        <v>6517</v>
      </c>
      <c r="Z153" s="150">
        <f t="shared" si="42"/>
        <v>0</v>
      </c>
      <c r="AA153" s="150">
        <f t="shared" si="43"/>
        <v>6517</v>
      </c>
      <c r="AB153" s="113">
        <f t="shared" si="44"/>
        <v>0</v>
      </c>
      <c r="AD153" s="272" t="str">
        <f t="shared" si="45"/>
        <v>Townsite Project - Townsite Project</v>
      </c>
      <c r="AE153" s="273">
        <f t="shared" si="46"/>
        <v>0</v>
      </c>
      <c r="AF153" s="273">
        <f t="shared" si="47"/>
        <v>0</v>
      </c>
      <c r="AG153" s="273">
        <f t="shared" si="48"/>
        <v>0</v>
      </c>
      <c r="AH153" s="273">
        <f t="shared" si="49"/>
        <v>0</v>
      </c>
      <c r="AI153" s="273">
        <f t="shared" si="50"/>
        <v>0</v>
      </c>
      <c r="AJ153" s="273">
        <f t="shared" si="51"/>
        <v>0</v>
      </c>
      <c r="AK153" s="273">
        <f t="shared" si="52"/>
        <v>0</v>
      </c>
      <c r="AL153" s="274">
        <f t="shared" si="53"/>
        <v>0</v>
      </c>
      <c r="AN153" s="75" t="str">
        <f t="shared" si="54"/>
        <v>-</v>
      </c>
      <c r="AO153" s="75" t="str">
        <f t="shared" si="55"/>
        <v>-</v>
      </c>
      <c r="AP153" s="48">
        <f t="shared" si="58"/>
        <v>0</v>
      </c>
      <c r="AQ153" s="48">
        <f t="shared" si="56"/>
        <v>0</v>
      </c>
      <c r="AR153" s="49">
        <f t="shared" si="57"/>
        <v>0</v>
      </c>
    </row>
    <row r="154" spans="1:44" ht="15">
      <c r="A154" s="38" t="s">
        <v>4161</v>
      </c>
      <c r="B154" s="38" t="s">
        <v>29</v>
      </c>
      <c r="C154" s="38" t="s">
        <v>3771</v>
      </c>
      <c r="D154" s="38" t="s">
        <v>4162</v>
      </c>
      <c r="E154" s="38" t="s">
        <v>4163</v>
      </c>
      <c r="F154" s="38">
        <v>57041</v>
      </c>
      <c r="G154" s="47">
        <f t="shared" si="39"/>
        <v>4.3727031303423702E-2</v>
      </c>
      <c r="H154" s="44">
        <v>987</v>
      </c>
      <c r="I154" s="44"/>
      <c r="J154" s="45">
        <f t="shared" si="59"/>
        <v>987</v>
      </c>
      <c r="K154" s="38"/>
      <c r="L154" s="38"/>
      <c r="M154" s="38"/>
      <c r="N154" s="34">
        <f>VLOOKUP(F154,'GHG Emissions Factors'!$B$2:$C$4000,2,FALSE)</f>
        <v>0</v>
      </c>
      <c r="O154" s="45">
        <f t="shared" si="40"/>
        <v>0</v>
      </c>
      <c r="P154" s="34">
        <f>IF(L154="yes", 0, _xlfn.XLOOKUP(F154, 'GHG Emissions Factors'!$B$2:$B$4000, 'GHG Emissions Factors'!$D$2:$D$4000, 0))</f>
        <v>0</v>
      </c>
      <c r="Q154" s="46"/>
      <c r="R154" s="46"/>
      <c r="S154" s="46">
        <f>ProcurementAllocationData[[#This Row],[Net MWhs Procured]]-(ProcurementAllocationData[[#This Row],[Deep Green]]+ProcurementAllocationData[[#This Row],[LocalSol]]+ProcurementAllocationData[[#This Row],[GreenAccess]])</f>
        <v>987</v>
      </c>
      <c r="T154" s="46"/>
      <c r="U154" s="46"/>
      <c r="V154" s="46"/>
      <c r="W154" s="46"/>
      <c r="X154" s="46"/>
      <c r="Y154" s="112">
        <f t="shared" si="41"/>
        <v>43</v>
      </c>
      <c r="Z154" s="150">
        <f t="shared" si="42"/>
        <v>0</v>
      </c>
      <c r="AA154" s="150">
        <f t="shared" si="43"/>
        <v>43</v>
      </c>
      <c r="AB154" s="113">
        <f t="shared" si="44"/>
        <v>0</v>
      </c>
      <c r="AC154" s="36"/>
      <c r="AD154" s="272" t="str">
        <f t="shared" si="45"/>
        <v>Vaca Dixon Solar Station - Vaca Dixon Solar Station</v>
      </c>
      <c r="AE154" s="273">
        <f t="shared" si="46"/>
        <v>0</v>
      </c>
      <c r="AF154" s="273">
        <f t="shared" si="47"/>
        <v>0</v>
      </c>
      <c r="AG154" s="273">
        <f t="shared" si="48"/>
        <v>0</v>
      </c>
      <c r="AH154" s="273">
        <f t="shared" si="49"/>
        <v>0</v>
      </c>
      <c r="AI154" s="273">
        <f t="shared" si="50"/>
        <v>0</v>
      </c>
      <c r="AJ154" s="273">
        <f t="shared" si="51"/>
        <v>0</v>
      </c>
      <c r="AK154" s="273">
        <f t="shared" si="52"/>
        <v>0</v>
      </c>
      <c r="AL154" s="274">
        <f t="shared" si="53"/>
        <v>0</v>
      </c>
      <c r="AN154" s="75" t="str">
        <f t="shared" si="54"/>
        <v>-</v>
      </c>
      <c r="AO154" s="75" t="str">
        <f t="shared" si="55"/>
        <v>-</v>
      </c>
      <c r="AP154" s="48">
        <f t="shared" si="58"/>
        <v>0</v>
      </c>
      <c r="AQ154" s="48">
        <f t="shared" si="56"/>
        <v>0</v>
      </c>
      <c r="AR154" s="49">
        <f t="shared" si="57"/>
        <v>0</v>
      </c>
    </row>
    <row r="155" spans="1:44" ht="15">
      <c r="A155" s="38" t="s">
        <v>4164</v>
      </c>
      <c r="B155" s="38" t="s">
        <v>30</v>
      </c>
      <c r="C155" s="38" t="s">
        <v>3771</v>
      </c>
      <c r="D155" s="38" t="s">
        <v>4165</v>
      </c>
      <c r="E155" s="38" t="s">
        <v>4166</v>
      </c>
      <c r="F155" s="38">
        <v>57700</v>
      </c>
      <c r="G155" s="47">
        <f t="shared" si="39"/>
        <v>4.3727031303423702E-2</v>
      </c>
      <c r="H155" s="44">
        <v>23849</v>
      </c>
      <c r="I155" s="44"/>
      <c r="J155" s="45">
        <f t="shared" si="59"/>
        <v>23849</v>
      </c>
      <c r="K155" s="38"/>
      <c r="L155" s="38"/>
      <c r="M155" s="38"/>
      <c r="N155" s="34">
        <f>VLOOKUP(F155,'GHG Emissions Factors'!$B$2:$C$4000,2,FALSE)</f>
        <v>0</v>
      </c>
      <c r="O155" s="45">
        <f t="shared" si="40"/>
        <v>0</v>
      </c>
      <c r="P155" s="34">
        <f>IF(L155="yes", 0, _xlfn.XLOOKUP(F155, 'GHG Emissions Factors'!$B$2:$B$4000, 'GHG Emissions Factors'!$D$2:$D$4000, 0))</f>
        <v>0</v>
      </c>
      <c r="Q155" s="46"/>
      <c r="R155" s="46"/>
      <c r="S155" s="46">
        <f>ProcurementAllocationData[[#This Row],[Net MWhs Procured]]-(ProcurementAllocationData[[#This Row],[Deep Green]]+ProcurementAllocationData[[#This Row],[LocalSol]]+ProcurementAllocationData[[#This Row],[GreenAccess]])</f>
        <v>23849</v>
      </c>
      <c r="T155" s="46"/>
      <c r="U155" s="46"/>
      <c r="V155" s="46"/>
      <c r="W155" s="46"/>
      <c r="X155" s="46"/>
      <c r="Y155" s="112">
        <f t="shared" si="41"/>
        <v>1043</v>
      </c>
      <c r="Z155" s="150">
        <f t="shared" si="42"/>
        <v>0</v>
      </c>
      <c r="AA155" s="150">
        <f t="shared" si="43"/>
        <v>1043</v>
      </c>
      <c r="AB155" s="113">
        <f t="shared" si="44"/>
        <v>0</v>
      </c>
      <c r="AC155" s="36"/>
      <c r="AD155" s="272" t="str">
        <f t="shared" si="45"/>
        <v>Vasco Winds - Vasco Winds</v>
      </c>
      <c r="AE155" s="273">
        <f t="shared" si="46"/>
        <v>0</v>
      </c>
      <c r="AF155" s="273">
        <f t="shared" si="47"/>
        <v>0</v>
      </c>
      <c r="AG155" s="273">
        <f t="shared" si="48"/>
        <v>0</v>
      </c>
      <c r="AH155" s="273">
        <f t="shared" si="49"/>
        <v>0</v>
      </c>
      <c r="AI155" s="273">
        <f t="shared" si="50"/>
        <v>0</v>
      </c>
      <c r="AJ155" s="273">
        <f t="shared" si="51"/>
        <v>0</v>
      </c>
      <c r="AK155" s="273">
        <f t="shared" si="52"/>
        <v>0</v>
      </c>
      <c r="AL155" s="274">
        <f t="shared" si="53"/>
        <v>0</v>
      </c>
      <c r="AN155" s="75" t="str">
        <f t="shared" si="54"/>
        <v>-</v>
      </c>
      <c r="AO155" s="75" t="str">
        <f t="shared" si="55"/>
        <v>-</v>
      </c>
      <c r="AP155" s="48">
        <f t="shared" si="58"/>
        <v>0</v>
      </c>
      <c r="AQ155" s="48">
        <f t="shared" si="56"/>
        <v>0</v>
      </c>
      <c r="AR155" s="49">
        <f t="shared" si="57"/>
        <v>0</v>
      </c>
    </row>
    <row r="156" spans="1:44" ht="15">
      <c r="A156" s="38" t="s">
        <v>4167</v>
      </c>
      <c r="B156" s="38" t="s">
        <v>28</v>
      </c>
      <c r="C156" s="38" t="s">
        <v>3771</v>
      </c>
      <c r="D156" s="38" t="s">
        <v>4168</v>
      </c>
      <c r="E156" s="38" t="s">
        <v>4169</v>
      </c>
      <c r="F156" s="38">
        <v>290</v>
      </c>
      <c r="G156" s="47">
        <f t="shared" ref="G156:G219" si="60">IF(C156="CA",Default_in_state_loss_factor,Default_out_of_state_loss_factor)</f>
        <v>4.3727031303423702E-2</v>
      </c>
      <c r="H156" s="44">
        <v>1364</v>
      </c>
      <c r="I156" s="44"/>
      <c r="J156" s="45">
        <f t="shared" si="59"/>
        <v>1364</v>
      </c>
      <c r="K156" s="38"/>
      <c r="L156" s="38"/>
      <c r="M156" s="38"/>
      <c r="N156" s="34">
        <f>VLOOKUP(F156,'GHG Emissions Factors'!$B$2:$C$4000,2,FALSE)</f>
        <v>0</v>
      </c>
      <c r="O156" s="45">
        <f t="shared" ref="O156:O219" si="61">N156*J156</f>
        <v>0</v>
      </c>
      <c r="P156" s="34">
        <f>IF(L156="yes", 0, _xlfn.XLOOKUP(F156, 'GHG Emissions Factors'!$B$2:$B$4000, 'GHG Emissions Factors'!$D$2:$D$4000, 0))</f>
        <v>0</v>
      </c>
      <c r="Q156" s="46"/>
      <c r="R156" s="46"/>
      <c r="S156" s="46">
        <f>ProcurementAllocationData[[#This Row],[Net MWhs Procured]]-(ProcurementAllocationData[[#This Row],[Deep Green]]+ProcurementAllocationData[[#This Row],[LocalSol]]+ProcurementAllocationData[[#This Row],[GreenAccess]])</f>
        <v>1364</v>
      </c>
      <c r="T156" s="46"/>
      <c r="U156" s="46"/>
      <c r="V156" s="46"/>
      <c r="W156" s="46"/>
      <c r="X156" s="46"/>
      <c r="Y156" s="112">
        <f t="shared" ref="Y156:Y219" si="62">ROUND((SUM(Q156:X156)*G156),0)</f>
        <v>60</v>
      </c>
      <c r="Z156" s="150">
        <f t="shared" ref="Z156:Z219" si="63">IF(M156="Yes",Y156,0)</f>
        <v>0</v>
      </c>
      <c r="AA156" s="150">
        <f t="shared" ref="AA156:AA219" si="64">Y156-Z156</f>
        <v>60</v>
      </c>
      <c r="AB156" s="113">
        <f t="shared" ref="AB156:AB219" si="65">J156-(SUM(Q156:X156))</f>
        <v>0</v>
      </c>
      <c r="AC156" s="36"/>
      <c r="AD156" s="272" t="str">
        <f t="shared" ref="AD156:AD219" si="66">IF(ISTEXT(A156),A156,"")</f>
        <v>Volta No. 1 Powerhouse - Volta No. 1 Powerhouse</v>
      </c>
      <c r="AE156" s="273">
        <f t="shared" ref="AE156:AE219" si="67">Q156*$P156</f>
        <v>0</v>
      </c>
      <c r="AF156" s="273">
        <f t="shared" ref="AF156:AF219" si="68">R156*$P156</f>
        <v>0</v>
      </c>
      <c r="AG156" s="273">
        <f t="shared" ref="AG156:AG219" si="69">S156*$P156</f>
        <v>0</v>
      </c>
      <c r="AH156" s="273">
        <f t="shared" ref="AH156:AH219" si="70">T156*$P156</f>
        <v>0</v>
      </c>
      <c r="AI156" s="273">
        <f t="shared" ref="AI156:AI219" si="71">U156*$P156</f>
        <v>0</v>
      </c>
      <c r="AJ156" s="273">
        <f t="shared" ref="AJ156:AJ219" si="72">V156*$P156</f>
        <v>0</v>
      </c>
      <c r="AK156" s="273">
        <f t="shared" ref="AK156:AK219" si="73">W156*$P156</f>
        <v>0</v>
      </c>
      <c r="AL156" s="274">
        <f t="shared" ref="AL156:AL219" si="74">(X156*$P156)+(Z156*$P156)</f>
        <v>0</v>
      </c>
      <c r="AN156" s="75" t="str">
        <f t="shared" ref="AN156:AN219" si="75">IF(AB156&gt;0,A156,"-")</f>
        <v>-</v>
      </c>
      <c r="AO156" s="75" t="str">
        <f t="shared" ref="AO156:AO219" si="76">IF(AB156&gt;0,B156,"-")</f>
        <v>-</v>
      </c>
      <c r="AP156" s="48">
        <f t="shared" si="58"/>
        <v>0</v>
      </c>
      <c r="AQ156" s="48">
        <f t="shared" ref="AQ156:AQ219" si="77">AP156*G156</f>
        <v>0</v>
      </c>
      <c r="AR156" s="49">
        <f t="shared" ref="AR156:AR219" si="78">IF(ISNUMBER(AP156),AP156*N156,0)</f>
        <v>0</v>
      </c>
    </row>
    <row r="157" spans="1:44" ht="15">
      <c r="A157" s="38" t="s">
        <v>4170</v>
      </c>
      <c r="B157" s="38" t="s">
        <v>28</v>
      </c>
      <c r="C157" s="38" t="s">
        <v>3771</v>
      </c>
      <c r="D157" s="38" t="s">
        <v>4171</v>
      </c>
      <c r="E157" s="38" t="s">
        <v>4172</v>
      </c>
      <c r="F157" s="38">
        <v>180</v>
      </c>
      <c r="G157" s="47">
        <f t="shared" si="60"/>
        <v>4.3727031303423702E-2</v>
      </c>
      <c r="H157" s="44">
        <v>1165</v>
      </c>
      <c r="I157" s="44"/>
      <c r="J157" s="45">
        <f t="shared" si="59"/>
        <v>1165</v>
      </c>
      <c r="K157" s="38"/>
      <c r="L157" s="38"/>
      <c r="M157" s="38"/>
      <c r="N157" s="34">
        <f>VLOOKUP(F157,'GHG Emissions Factors'!$B$2:$C$4000,2,FALSE)</f>
        <v>0</v>
      </c>
      <c r="O157" s="45">
        <f t="shared" si="61"/>
        <v>0</v>
      </c>
      <c r="P157" s="34">
        <f>IF(L157="yes", 0, _xlfn.XLOOKUP(F157, 'GHG Emissions Factors'!$B$2:$B$4000, 'GHG Emissions Factors'!$D$2:$D$4000, 0))</f>
        <v>0</v>
      </c>
      <c r="Q157" s="46"/>
      <c r="R157" s="46"/>
      <c r="S157" s="46">
        <f>ProcurementAllocationData[[#This Row],[Net MWhs Procured]]-(ProcurementAllocationData[[#This Row],[Deep Green]]+ProcurementAllocationData[[#This Row],[LocalSol]]+ProcurementAllocationData[[#This Row],[GreenAccess]])</f>
        <v>1165</v>
      </c>
      <c r="T157" s="46"/>
      <c r="U157" s="46"/>
      <c r="V157" s="46"/>
      <c r="W157" s="46"/>
      <c r="X157" s="46"/>
      <c r="Y157" s="112">
        <f t="shared" si="62"/>
        <v>51</v>
      </c>
      <c r="Z157" s="150">
        <f t="shared" si="63"/>
        <v>0</v>
      </c>
      <c r="AA157" s="150">
        <f t="shared" si="64"/>
        <v>51</v>
      </c>
      <c r="AB157" s="113">
        <f t="shared" si="65"/>
        <v>0</v>
      </c>
      <c r="AC157" s="36"/>
      <c r="AD157" s="272" t="str">
        <f t="shared" si="66"/>
        <v>Volta No. 2 Powerhouse - Volta No. 2 Powerhouse</v>
      </c>
      <c r="AE157" s="273">
        <f t="shared" si="67"/>
        <v>0</v>
      </c>
      <c r="AF157" s="273">
        <f t="shared" si="68"/>
        <v>0</v>
      </c>
      <c r="AG157" s="273">
        <f t="shared" si="69"/>
        <v>0</v>
      </c>
      <c r="AH157" s="273">
        <f t="shared" si="70"/>
        <v>0</v>
      </c>
      <c r="AI157" s="273">
        <f t="shared" si="71"/>
        <v>0</v>
      </c>
      <c r="AJ157" s="273">
        <f t="shared" si="72"/>
        <v>0</v>
      </c>
      <c r="AK157" s="273">
        <f t="shared" si="73"/>
        <v>0</v>
      </c>
      <c r="AL157" s="274">
        <f t="shared" si="74"/>
        <v>0</v>
      </c>
      <c r="AN157" s="75" t="str">
        <f t="shared" si="75"/>
        <v>-</v>
      </c>
      <c r="AO157" s="75" t="str">
        <f t="shared" si="76"/>
        <v>-</v>
      </c>
      <c r="AP157" s="48">
        <f t="shared" ref="AP157:AP220" si="79">IF(AB157&gt;0,AB157,0)</f>
        <v>0</v>
      </c>
      <c r="AQ157" s="48">
        <f t="shared" si="77"/>
        <v>0</v>
      </c>
      <c r="AR157" s="49">
        <f t="shared" si="78"/>
        <v>0</v>
      </c>
    </row>
    <row r="158" spans="1:44" ht="15">
      <c r="A158" s="38" t="s">
        <v>4173</v>
      </c>
      <c r="B158" s="38" t="s">
        <v>30</v>
      </c>
      <c r="C158" s="38" t="s">
        <v>3771</v>
      </c>
      <c r="D158" s="38" t="s">
        <v>4174</v>
      </c>
      <c r="E158" s="38" t="s">
        <v>4175</v>
      </c>
      <c r="F158" s="38">
        <v>61583</v>
      </c>
      <c r="G158" s="47">
        <f t="shared" si="60"/>
        <v>4.3727031303423702E-2</v>
      </c>
      <c r="H158" s="44">
        <v>133410</v>
      </c>
      <c r="I158" s="44"/>
      <c r="J158" s="45">
        <f t="shared" si="59"/>
        <v>133410</v>
      </c>
      <c r="K158" s="38"/>
      <c r="L158" s="38"/>
      <c r="M158" s="38"/>
      <c r="N158" s="34">
        <f>VLOOKUP(F158,'GHG Emissions Factors'!$B$2:$C$4000,2,FALSE)</f>
        <v>0</v>
      </c>
      <c r="O158" s="45">
        <f t="shared" si="61"/>
        <v>0</v>
      </c>
      <c r="P158" s="34">
        <f>IF(L158="yes", 0, _xlfn.XLOOKUP(F158, 'GHG Emissions Factors'!$B$2:$B$4000, 'GHG Emissions Factors'!$D$2:$D$4000, 0))</f>
        <v>0</v>
      </c>
      <c r="Q158" s="46">
        <v>8427</v>
      </c>
      <c r="R158" s="46"/>
      <c r="S158" s="46">
        <f>ProcurementAllocationData[[#This Row],[Net MWhs Procured]]-(ProcurementAllocationData[[#This Row],[Deep Green]]+ProcurementAllocationData[[#This Row],[LocalSol]]+ProcurementAllocationData[[#This Row],[GreenAccess]])</f>
        <v>124983</v>
      </c>
      <c r="T158" s="46"/>
      <c r="U158" s="46"/>
      <c r="V158" s="46"/>
      <c r="W158" s="46"/>
      <c r="X158" s="46"/>
      <c r="Y158" s="112">
        <f t="shared" si="62"/>
        <v>5834</v>
      </c>
      <c r="Z158" s="150">
        <f t="shared" si="63"/>
        <v>0</v>
      </c>
      <c r="AA158" s="150">
        <f t="shared" si="64"/>
        <v>5834</v>
      </c>
      <c r="AB158" s="113">
        <f t="shared" si="65"/>
        <v>0</v>
      </c>
      <c r="AC158" s="36"/>
      <c r="AD158" s="272" t="str">
        <f t="shared" si="66"/>
        <v>Voyager Wind 3 - Voyager Wind 3</v>
      </c>
      <c r="AE158" s="273">
        <f t="shared" si="67"/>
        <v>0</v>
      </c>
      <c r="AF158" s="273">
        <f t="shared" si="68"/>
        <v>0</v>
      </c>
      <c r="AG158" s="273">
        <f t="shared" si="69"/>
        <v>0</v>
      </c>
      <c r="AH158" s="273">
        <f t="shared" si="70"/>
        <v>0</v>
      </c>
      <c r="AI158" s="273">
        <f t="shared" si="71"/>
        <v>0</v>
      </c>
      <c r="AJ158" s="273">
        <f t="shared" si="72"/>
        <v>0</v>
      </c>
      <c r="AK158" s="273">
        <f t="shared" si="73"/>
        <v>0</v>
      </c>
      <c r="AL158" s="274">
        <f t="shared" si="74"/>
        <v>0</v>
      </c>
      <c r="AN158" s="75" t="str">
        <f t="shared" si="75"/>
        <v>-</v>
      </c>
      <c r="AO158" s="75" t="str">
        <f t="shared" si="76"/>
        <v>-</v>
      </c>
      <c r="AP158" s="48">
        <f t="shared" si="79"/>
        <v>0</v>
      </c>
      <c r="AQ158" s="48">
        <f t="shared" si="77"/>
        <v>0</v>
      </c>
      <c r="AR158" s="49">
        <f t="shared" si="78"/>
        <v>0</v>
      </c>
    </row>
    <row r="159" spans="1:44" ht="15">
      <c r="A159" s="38" t="s">
        <v>4176</v>
      </c>
      <c r="B159" s="38" t="s">
        <v>29</v>
      </c>
      <c r="C159" s="38" t="s">
        <v>3771</v>
      </c>
      <c r="D159" s="38" t="s">
        <v>4177</v>
      </c>
      <c r="E159" s="38" t="s">
        <v>4178</v>
      </c>
      <c r="F159" s="38">
        <v>58616</v>
      </c>
      <c r="G159" s="47">
        <f t="shared" si="60"/>
        <v>4.3727031303423702E-2</v>
      </c>
      <c r="H159" s="44">
        <v>100000</v>
      </c>
      <c r="I159" s="44"/>
      <c r="J159" s="45">
        <f t="shared" si="59"/>
        <v>100000</v>
      </c>
      <c r="K159" s="38"/>
      <c r="L159" s="38"/>
      <c r="M159" s="38"/>
      <c r="N159" s="34">
        <f>VLOOKUP(F159,'GHG Emissions Factors'!$B$2:$C$4000,2,FALSE)</f>
        <v>0</v>
      </c>
      <c r="O159" s="45">
        <f t="shared" si="61"/>
        <v>0</v>
      </c>
      <c r="P159" s="34">
        <f>IF(L159="yes", 0, _xlfn.XLOOKUP(F159, 'GHG Emissions Factors'!$B$2:$B$4000, 'GHG Emissions Factors'!$D$2:$D$4000, 0))</f>
        <v>0</v>
      </c>
      <c r="Q159" s="46"/>
      <c r="R159" s="46"/>
      <c r="S159" s="46">
        <f>ProcurementAllocationData[[#This Row],[Net MWhs Procured]]-(ProcurementAllocationData[[#This Row],[Deep Green]]+ProcurementAllocationData[[#This Row],[LocalSol]]+ProcurementAllocationData[[#This Row],[GreenAccess]])</f>
        <v>100000</v>
      </c>
      <c r="T159" s="46"/>
      <c r="U159" s="46"/>
      <c r="V159" s="46"/>
      <c r="W159" s="46"/>
      <c r="X159" s="46"/>
      <c r="Y159" s="112">
        <f t="shared" si="62"/>
        <v>4373</v>
      </c>
      <c r="Z159" s="150">
        <f t="shared" si="63"/>
        <v>0</v>
      </c>
      <c r="AA159" s="150">
        <f t="shared" si="64"/>
        <v>4373</v>
      </c>
      <c r="AB159" s="113">
        <f t="shared" si="65"/>
        <v>0</v>
      </c>
      <c r="AC159" s="36"/>
      <c r="AD159" s="272" t="str">
        <f t="shared" si="66"/>
        <v>Westlands Solar Blue (OZ) Owner, LLC</v>
      </c>
      <c r="AE159" s="273">
        <f t="shared" si="67"/>
        <v>0</v>
      </c>
      <c r="AF159" s="273">
        <f t="shared" si="68"/>
        <v>0</v>
      </c>
      <c r="AG159" s="273">
        <f t="shared" si="69"/>
        <v>0</v>
      </c>
      <c r="AH159" s="273">
        <f t="shared" si="70"/>
        <v>0</v>
      </c>
      <c r="AI159" s="273">
        <f t="shared" si="71"/>
        <v>0</v>
      </c>
      <c r="AJ159" s="273">
        <f t="shared" si="72"/>
        <v>0</v>
      </c>
      <c r="AK159" s="273">
        <f t="shared" si="73"/>
        <v>0</v>
      </c>
      <c r="AL159" s="274">
        <f t="shared" si="74"/>
        <v>0</v>
      </c>
      <c r="AN159" s="75" t="str">
        <f t="shared" si="75"/>
        <v>-</v>
      </c>
      <c r="AO159" s="75" t="str">
        <f t="shared" si="76"/>
        <v>-</v>
      </c>
      <c r="AP159" s="48">
        <f t="shared" si="79"/>
        <v>0</v>
      </c>
      <c r="AQ159" s="48">
        <f t="shared" si="77"/>
        <v>0</v>
      </c>
      <c r="AR159" s="49">
        <f t="shared" si="78"/>
        <v>0</v>
      </c>
    </row>
    <row r="160" spans="1:44" ht="15">
      <c r="A160" s="38" t="s">
        <v>4179</v>
      </c>
      <c r="B160" s="38" t="s">
        <v>29</v>
      </c>
      <c r="C160" s="38" t="s">
        <v>3771</v>
      </c>
      <c r="D160" s="38" t="s">
        <v>4180</v>
      </c>
      <c r="E160" s="38" t="s">
        <v>4181</v>
      </c>
      <c r="F160" s="38">
        <v>57499</v>
      </c>
      <c r="G160" s="47">
        <f t="shared" si="60"/>
        <v>4.3727031303423702E-2</v>
      </c>
      <c r="H160" s="44">
        <v>3664</v>
      </c>
      <c r="I160" s="44"/>
      <c r="J160" s="45">
        <f t="shared" si="59"/>
        <v>3664</v>
      </c>
      <c r="K160" s="38"/>
      <c r="L160" s="38"/>
      <c r="M160" s="38"/>
      <c r="N160" s="34">
        <f>VLOOKUP(F160,'GHG Emissions Factors'!$B$2:$C$4000,2,FALSE)</f>
        <v>0</v>
      </c>
      <c r="O160" s="45">
        <f t="shared" si="61"/>
        <v>0</v>
      </c>
      <c r="P160" s="34">
        <f>IF(L160="yes", 0, _xlfn.XLOOKUP(F160, 'GHG Emissions Factors'!$B$2:$B$4000, 'GHG Emissions Factors'!$D$2:$D$4000, 0))</f>
        <v>0</v>
      </c>
      <c r="Q160" s="46"/>
      <c r="R160" s="46"/>
      <c r="S160" s="46">
        <f>ProcurementAllocationData[[#This Row],[Net MWhs Procured]]-(ProcurementAllocationData[[#This Row],[Deep Green]]+ProcurementAllocationData[[#This Row],[LocalSol]]+ProcurementAllocationData[[#This Row],[GreenAccess]])</f>
        <v>3664</v>
      </c>
      <c r="T160" s="46"/>
      <c r="U160" s="46"/>
      <c r="V160" s="46"/>
      <c r="W160" s="46"/>
      <c r="X160" s="46"/>
      <c r="Y160" s="112">
        <f t="shared" si="62"/>
        <v>160</v>
      </c>
      <c r="Z160" s="150">
        <f t="shared" si="63"/>
        <v>0</v>
      </c>
      <c r="AA160" s="150">
        <f t="shared" si="64"/>
        <v>160</v>
      </c>
      <c r="AB160" s="113">
        <f t="shared" si="65"/>
        <v>0</v>
      </c>
      <c r="AC160" s="36"/>
      <c r="AD160" s="272" t="str">
        <f t="shared" si="66"/>
        <v>Westside Solar Station - Westside Solar Station</v>
      </c>
      <c r="AE160" s="273">
        <f t="shared" si="67"/>
        <v>0</v>
      </c>
      <c r="AF160" s="273">
        <f t="shared" si="68"/>
        <v>0</v>
      </c>
      <c r="AG160" s="273">
        <f t="shared" si="69"/>
        <v>0</v>
      </c>
      <c r="AH160" s="273">
        <f t="shared" si="70"/>
        <v>0</v>
      </c>
      <c r="AI160" s="273">
        <f t="shared" si="71"/>
        <v>0</v>
      </c>
      <c r="AJ160" s="273">
        <f t="shared" si="72"/>
        <v>0</v>
      </c>
      <c r="AK160" s="273">
        <f t="shared" si="73"/>
        <v>0</v>
      </c>
      <c r="AL160" s="274">
        <f t="shared" si="74"/>
        <v>0</v>
      </c>
      <c r="AN160" s="75" t="str">
        <f t="shared" si="75"/>
        <v>-</v>
      </c>
      <c r="AO160" s="75" t="str">
        <f t="shared" si="76"/>
        <v>-</v>
      </c>
      <c r="AP160" s="48">
        <f t="shared" si="79"/>
        <v>0</v>
      </c>
      <c r="AQ160" s="48">
        <f t="shared" si="77"/>
        <v>0</v>
      </c>
      <c r="AR160" s="49">
        <f t="shared" si="78"/>
        <v>0</v>
      </c>
    </row>
    <row r="161" spans="1:44" ht="15">
      <c r="A161" s="38" t="s">
        <v>4182</v>
      </c>
      <c r="B161" s="38" t="s">
        <v>29</v>
      </c>
      <c r="C161" s="38" t="s">
        <v>3771</v>
      </c>
      <c r="D161" s="38" t="s">
        <v>4183</v>
      </c>
      <c r="E161" s="38" t="s">
        <v>4184</v>
      </c>
      <c r="F161" s="38">
        <v>64864</v>
      </c>
      <c r="G161" s="47">
        <f t="shared" si="60"/>
        <v>4.3727031303423702E-2</v>
      </c>
      <c r="H161" s="44">
        <v>18149</v>
      </c>
      <c r="I161" s="44"/>
      <c r="J161" s="45">
        <f t="shared" si="59"/>
        <v>18149</v>
      </c>
      <c r="K161" s="38"/>
      <c r="L161" s="38"/>
      <c r="M161" s="38"/>
      <c r="N161" s="34">
        <f>VLOOKUP(F161,'GHG Emissions Factors'!$B$2:$C$4000,2,FALSE)</f>
        <v>0</v>
      </c>
      <c r="O161" s="45">
        <f t="shared" si="61"/>
        <v>0</v>
      </c>
      <c r="P161" s="34">
        <f>IF(L161="yes", 0, _xlfn.XLOOKUP(F161, 'GHG Emissions Factors'!$B$2:$B$4000, 'GHG Emissions Factors'!$D$2:$D$4000, 0))</f>
        <v>0</v>
      </c>
      <c r="Q161" s="46"/>
      <c r="R161" s="46"/>
      <c r="S161" s="46">
        <f>ProcurementAllocationData[[#This Row],[Net MWhs Procured]]-(ProcurementAllocationData[[#This Row],[Deep Green]]+ProcurementAllocationData[[#This Row],[LocalSol]]+ProcurementAllocationData[[#This Row],[GreenAccess]])</f>
        <v>18149</v>
      </c>
      <c r="T161" s="46"/>
      <c r="U161" s="46"/>
      <c r="V161" s="46"/>
      <c r="W161" s="46"/>
      <c r="X161" s="46"/>
      <c r="Y161" s="112">
        <f t="shared" si="62"/>
        <v>794</v>
      </c>
      <c r="Z161" s="150">
        <f t="shared" si="63"/>
        <v>0</v>
      </c>
      <c r="AA161" s="150">
        <f t="shared" si="64"/>
        <v>794</v>
      </c>
      <c r="AB161" s="113">
        <f t="shared" si="65"/>
        <v>0</v>
      </c>
      <c r="AC161" s="36"/>
      <c r="AD161" s="272" t="str">
        <f t="shared" si="66"/>
        <v>Willy 9 Chap 2 - Chaparral Solar, LLC</v>
      </c>
      <c r="AE161" s="273">
        <f t="shared" si="67"/>
        <v>0</v>
      </c>
      <c r="AF161" s="273">
        <f t="shared" si="68"/>
        <v>0</v>
      </c>
      <c r="AG161" s="273">
        <f t="shared" si="69"/>
        <v>0</v>
      </c>
      <c r="AH161" s="273">
        <f t="shared" si="70"/>
        <v>0</v>
      </c>
      <c r="AI161" s="273">
        <f t="shared" si="71"/>
        <v>0</v>
      </c>
      <c r="AJ161" s="273">
        <f t="shared" si="72"/>
        <v>0</v>
      </c>
      <c r="AK161" s="273">
        <f t="shared" si="73"/>
        <v>0</v>
      </c>
      <c r="AL161" s="274">
        <f t="shared" si="74"/>
        <v>0</v>
      </c>
      <c r="AN161" s="75" t="str">
        <f t="shared" si="75"/>
        <v>-</v>
      </c>
      <c r="AO161" s="75" t="str">
        <f t="shared" si="76"/>
        <v>-</v>
      </c>
      <c r="AP161" s="48">
        <f t="shared" si="79"/>
        <v>0</v>
      </c>
      <c r="AQ161" s="48">
        <f t="shared" si="77"/>
        <v>0</v>
      </c>
      <c r="AR161" s="49">
        <f t="shared" si="78"/>
        <v>0</v>
      </c>
    </row>
    <row r="162" spans="1:44" ht="15">
      <c r="A162" s="38" t="s">
        <v>4185</v>
      </c>
      <c r="B162" s="38" t="s">
        <v>28</v>
      </c>
      <c r="C162" s="38" t="s">
        <v>3771</v>
      </c>
      <c r="D162" s="38" t="s">
        <v>4186</v>
      </c>
      <c r="E162" s="38" t="s">
        <v>4187</v>
      </c>
      <c r="F162" s="38">
        <v>292</v>
      </c>
      <c r="G162" s="47">
        <f t="shared" si="60"/>
        <v>4.3727031303423702E-2</v>
      </c>
      <c r="H162" s="44">
        <v>12170</v>
      </c>
      <c r="I162" s="44"/>
      <c r="J162" s="45">
        <f t="shared" si="59"/>
        <v>12170</v>
      </c>
      <c r="K162" s="38"/>
      <c r="L162" s="38"/>
      <c r="M162" s="38"/>
      <c r="N162" s="34">
        <f>VLOOKUP(F162,'GHG Emissions Factors'!$B$2:$C$4000,2,FALSE)</f>
        <v>0</v>
      </c>
      <c r="O162" s="45">
        <f t="shared" si="61"/>
        <v>0</v>
      </c>
      <c r="P162" s="34">
        <f>IF(L162="yes", 0, _xlfn.XLOOKUP(F162, 'GHG Emissions Factors'!$B$2:$B$4000, 'GHG Emissions Factors'!$D$2:$D$4000, 0))</f>
        <v>0</v>
      </c>
      <c r="Q162" s="46"/>
      <c r="R162" s="46"/>
      <c r="S162" s="46">
        <f>ProcurementAllocationData[[#This Row],[Net MWhs Procured]]-(ProcurementAllocationData[[#This Row],[Deep Green]]+ProcurementAllocationData[[#This Row],[LocalSol]]+ProcurementAllocationData[[#This Row],[GreenAccess]])</f>
        <v>12170</v>
      </c>
      <c r="T162" s="46"/>
      <c r="U162" s="46"/>
      <c r="V162" s="46"/>
      <c r="W162" s="46"/>
      <c r="X162" s="46"/>
      <c r="Y162" s="112">
        <f t="shared" si="62"/>
        <v>532</v>
      </c>
      <c r="Z162" s="150">
        <f t="shared" si="63"/>
        <v>0</v>
      </c>
      <c r="AA162" s="150">
        <f t="shared" si="64"/>
        <v>532</v>
      </c>
      <c r="AB162" s="113">
        <f t="shared" si="65"/>
        <v>0</v>
      </c>
      <c r="AC162" s="36"/>
      <c r="AD162" s="272" t="str">
        <f t="shared" si="66"/>
        <v>Wise No. 1 Powerhouse - Wise No. 1 Powerhouse</v>
      </c>
      <c r="AE162" s="273">
        <f t="shared" si="67"/>
        <v>0</v>
      </c>
      <c r="AF162" s="273">
        <f t="shared" si="68"/>
        <v>0</v>
      </c>
      <c r="AG162" s="273">
        <f t="shared" si="69"/>
        <v>0</v>
      </c>
      <c r="AH162" s="273">
        <f t="shared" si="70"/>
        <v>0</v>
      </c>
      <c r="AI162" s="273">
        <f t="shared" si="71"/>
        <v>0</v>
      </c>
      <c r="AJ162" s="273">
        <f t="shared" si="72"/>
        <v>0</v>
      </c>
      <c r="AK162" s="273">
        <f t="shared" si="73"/>
        <v>0</v>
      </c>
      <c r="AL162" s="274">
        <f t="shared" si="74"/>
        <v>0</v>
      </c>
      <c r="AN162" s="75" t="str">
        <f t="shared" si="75"/>
        <v>-</v>
      </c>
      <c r="AO162" s="75" t="str">
        <f t="shared" si="76"/>
        <v>-</v>
      </c>
      <c r="AP162" s="48">
        <f t="shared" si="79"/>
        <v>0</v>
      </c>
      <c r="AQ162" s="48">
        <f t="shared" si="77"/>
        <v>0</v>
      </c>
      <c r="AR162" s="49">
        <f t="shared" si="78"/>
        <v>0</v>
      </c>
    </row>
    <row r="163" spans="1:44" ht="15">
      <c r="A163" s="38" t="s">
        <v>4188</v>
      </c>
      <c r="B163" s="38" t="s">
        <v>31</v>
      </c>
      <c r="C163" s="38" t="s">
        <v>3771</v>
      </c>
      <c r="D163" s="38" t="s">
        <v>4211</v>
      </c>
      <c r="E163" s="38">
        <v>0</v>
      </c>
      <c r="F163" s="38">
        <v>441</v>
      </c>
      <c r="G163" s="47">
        <f t="shared" si="60"/>
        <v>4.3727031303423702E-2</v>
      </c>
      <c r="H163" s="44">
        <v>1162</v>
      </c>
      <c r="I163" s="44"/>
      <c r="J163" s="45">
        <f t="shared" si="59"/>
        <v>1162</v>
      </c>
      <c r="K163" s="38"/>
      <c r="L163" s="38"/>
      <c r="M163" s="38"/>
      <c r="N163" s="34">
        <f>VLOOKUP(F163,'GHG Emissions Factors'!$B$2:$C$4000,2,FALSE)</f>
        <v>0</v>
      </c>
      <c r="O163" s="45">
        <f t="shared" si="61"/>
        <v>0</v>
      </c>
      <c r="P163" s="34">
        <f>IF(L163="yes", 0, _xlfn.XLOOKUP(F163, 'GHG Emissions Factors'!$B$2:$B$4000, 'GHG Emissions Factors'!$D$2:$D$4000, 0))</f>
        <v>0</v>
      </c>
      <c r="Q163" s="46"/>
      <c r="R163" s="46"/>
      <c r="S163" s="46">
        <f>ProcurementAllocationData[[#This Row],[Net MWhs Procured]]-(ProcurementAllocationData[[#This Row],[Deep Green]]+ProcurementAllocationData[[#This Row],[LocalSol]]+ProcurementAllocationData[[#This Row],[GreenAccess]])</f>
        <v>1162</v>
      </c>
      <c r="T163" s="46"/>
      <c r="U163" s="46"/>
      <c r="V163" s="46"/>
      <c r="W163" s="46"/>
      <c r="X163" s="46"/>
      <c r="Y163" s="112">
        <f t="shared" si="62"/>
        <v>51</v>
      </c>
      <c r="Z163" s="150">
        <f t="shared" si="63"/>
        <v>0</v>
      </c>
      <c r="AA163" s="150">
        <f t="shared" si="64"/>
        <v>51</v>
      </c>
      <c r="AB163" s="113">
        <f t="shared" si="65"/>
        <v>0</v>
      </c>
      <c r="AC163" s="36"/>
      <c r="AD163" s="272" t="str">
        <f t="shared" si="66"/>
        <v>Folsom Powerplant - Folsom Unit 1</v>
      </c>
      <c r="AE163" s="273">
        <f t="shared" si="67"/>
        <v>0</v>
      </c>
      <c r="AF163" s="273">
        <f t="shared" si="68"/>
        <v>0</v>
      </c>
      <c r="AG163" s="273">
        <f t="shared" si="69"/>
        <v>0</v>
      </c>
      <c r="AH163" s="273">
        <f t="shared" si="70"/>
        <v>0</v>
      </c>
      <c r="AI163" s="273">
        <f t="shared" si="71"/>
        <v>0</v>
      </c>
      <c r="AJ163" s="273">
        <f t="shared" si="72"/>
        <v>0</v>
      </c>
      <c r="AK163" s="273">
        <f t="shared" si="73"/>
        <v>0</v>
      </c>
      <c r="AL163" s="274">
        <f t="shared" si="74"/>
        <v>0</v>
      </c>
      <c r="AN163" s="75" t="str">
        <f t="shared" si="75"/>
        <v>-</v>
      </c>
      <c r="AO163" s="75" t="str">
        <f t="shared" si="76"/>
        <v>-</v>
      </c>
      <c r="AP163" s="48">
        <f t="shared" si="79"/>
        <v>0</v>
      </c>
      <c r="AQ163" s="48">
        <f t="shared" si="77"/>
        <v>0</v>
      </c>
      <c r="AR163" s="49">
        <f t="shared" si="78"/>
        <v>0</v>
      </c>
    </row>
    <row r="164" spans="1:44" ht="15">
      <c r="A164" s="38" t="s">
        <v>4189</v>
      </c>
      <c r="B164" s="38" t="s">
        <v>31</v>
      </c>
      <c r="C164" s="38" t="s">
        <v>3771</v>
      </c>
      <c r="D164" s="38" t="s">
        <v>4212</v>
      </c>
      <c r="E164" s="38">
        <v>0</v>
      </c>
      <c r="F164" s="38">
        <v>441</v>
      </c>
      <c r="G164" s="47">
        <f t="shared" si="60"/>
        <v>4.3727031303423702E-2</v>
      </c>
      <c r="H164" s="44">
        <v>285</v>
      </c>
      <c r="I164" s="44"/>
      <c r="J164" s="45">
        <f t="shared" si="59"/>
        <v>285</v>
      </c>
      <c r="K164" s="38"/>
      <c r="L164" s="38"/>
      <c r="M164" s="38"/>
      <c r="N164" s="34">
        <f>VLOOKUP(F164,'GHG Emissions Factors'!$B$2:$C$4000,2,FALSE)</f>
        <v>0</v>
      </c>
      <c r="O164" s="45">
        <f t="shared" si="61"/>
        <v>0</v>
      </c>
      <c r="P164" s="34">
        <f>IF(L164="yes", 0, _xlfn.XLOOKUP(F164, 'GHG Emissions Factors'!$B$2:$B$4000, 'GHG Emissions Factors'!$D$2:$D$4000, 0))</f>
        <v>0</v>
      </c>
      <c r="Q164" s="46"/>
      <c r="R164" s="46"/>
      <c r="S164" s="46">
        <f>ProcurementAllocationData[[#This Row],[Net MWhs Procured]]-(ProcurementAllocationData[[#This Row],[Deep Green]]+ProcurementAllocationData[[#This Row],[LocalSol]]+ProcurementAllocationData[[#This Row],[GreenAccess]])</f>
        <v>285</v>
      </c>
      <c r="T164" s="46"/>
      <c r="U164" s="46"/>
      <c r="V164" s="46"/>
      <c r="W164" s="46"/>
      <c r="X164" s="46"/>
      <c r="Y164" s="112">
        <f t="shared" si="62"/>
        <v>12</v>
      </c>
      <c r="Z164" s="150">
        <f t="shared" si="63"/>
        <v>0</v>
      </c>
      <c r="AA164" s="150">
        <f t="shared" si="64"/>
        <v>12</v>
      </c>
      <c r="AB164" s="113">
        <f t="shared" si="65"/>
        <v>0</v>
      </c>
      <c r="AC164" s="36"/>
      <c r="AD164" s="272" t="str">
        <f t="shared" si="66"/>
        <v>Folsom Powerplant - Folsom Unit 2</v>
      </c>
      <c r="AE164" s="273">
        <f t="shared" si="67"/>
        <v>0</v>
      </c>
      <c r="AF164" s="273">
        <f t="shared" si="68"/>
        <v>0</v>
      </c>
      <c r="AG164" s="273">
        <f t="shared" si="69"/>
        <v>0</v>
      </c>
      <c r="AH164" s="273">
        <f t="shared" si="70"/>
        <v>0</v>
      </c>
      <c r="AI164" s="273">
        <f t="shared" si="71"/>
        <v>0</v>
      </c>
      <c r="AJ164" s="273">
        <f t="shared" si="72"/>
        <v>0</v>
      </c>
      <c r="AK164" s="273">
        <f t="shared" si="73"/>
        <v>0</v>
      </c>
      <c r="AL164" s="274">
        <f t="shared" si="74"/>
        <v>0</v>
      </c>
      <c r="AN164" s="75" t="str">
        <f t="shared" si="75"/>
        <v>-</v>
      </c>
      <c r="AO164" s="75" t="str">
        <f t="shared" si="76"/>
        <v>-</v>
      </c>
      <c r="AP164" s="48">
        <f t="shared" si="79"/>
        <v>0</v>
      </c>
      <c r="AQ164" s="48">
        <f t="shared" si="77"/>
        <v>0</v>
      </c>
      <c r="AR164" s="49">
        <f t="shared" si="78"/>
        <v>0</v>
      </c>
    </row>
    <row r="165" spans="1:44" ht="15">
      <c r="A165" s="38" t="s">
        <v>4190</v>
      </c>
      <c r="B165" s="38" t="s">
        <v>31</v>
      </c>
      <c r="C165" s="38" t="s">
        <v>3771</v>
      </c>
      <c r="D165" s="38" t="s">
        <v>4213</v>
      </c>
      <c r="E165" s="38">
        <v>0</v>
      </c>
      <c r="F165" s="38">
        <v>441</v>
      </c>
      <c r="G165" s="47">
        <f t="shared" si="60"/>
        <v>4.3727031303423702E-2</v>
      </c>
      <c r="H165" s="44">
        <v>1145</v>
      </c>
      <c r="I165" s="44"/>
      <c r="J165" s="45">
        <f t="shared" si="59"/>
        <v>1145</v>
      </c>
      <c r="K165" s="38"/>
      <c r="L165" s="38"/>
      <c r="M165" s="38"/>
      <c r="N165" s="34">
        <f>VLOOKUP(F165,'GHG Emissions Factors'!$B$2:$C$4000,2,FALSE)</f>
        <v>0</v>
      </c>
      <c r="O165" s="45">
        <f t="shared" si="61"/>
        <v>0</v>
      </c>
      <c r="P165" s="34">
        <f>IF(L165="yes", 0, _xlfn.XLOOKUP(F165, 'GHG Emissions Factors'!$B$2:$B$4000, 'GHG Emissions Factors'!$D$2:$D$4000, 0))</f>
        <v>0</v>
      </c>
      <c r="Q165" s="46"/>
      <c r="R165" s="46"/>
      <c r="S165" s="46">
        <f>ProcurementAllocationData[[#This Row],[Net MWhs Procured]]-(ProcurementAllocationData[[#This Row],[Deep Green]]+ProcurementAllocationData[[#This Row],[LocalSol]]+ProcurementAllocationData[[#This Row],[GreenAccess]])</f>
        <v>1145</v>
      </c>
      <c r="T165" s="46"/>
      <c r="U165" s="46"/>
      <c r="V165" s="46"/>
      <c r="W165" s="46"/>
      <c r="X165" s="46"/>
      <c r="Y165" s="112">
        <f t="shared" si="62"/>
        <v>50</v>
      </c>
      <c r="Z165" s="150">
        <f t="shared" si="63"/>
        <v>0</v>
      </c>
      <c r="AA165" s="150">
        <f t="shared" si="64"/>
        <v>50</v>
      </c>
      <c r="AB165" s="113">
        <f t="shared" si="65"/>
        <v>0</v>
      </c>
      <c r="AC165" s="36"/>
      <c r="AD165" s="272" t="str">
        <f t="shared" si="66"/>
        <v>Folsom Powerplant - Folsom Unit 3</v>
      </c>
      <c r="AE165" s="273">
        <f t="shared" si="67"/>
        <v>0</v>
      </c>
      <c r="AF165" s="273">
        <f t="shared" si="68"/>
        <v>0</v>
      </c>
      <c r="AG165" s="273">
        <f t="shared" si="69"/>
        <v>0</v>
      </c>
      <c r="AH165" s="273">
        <f t="shared" si="70"/>
        <v>0</v>
      </c>
      <c r="AI165" s="273">
        <f t="shared" si="71"/>
        <v>0</v>
      </c>
      <c r="AJ165" s="273">
        <f t="shared" si="72"/>
        <v>0</v>
      </c>
      <c r="AK165" s="273">
        <f t="shared" si="73"/>
        <v>0</v>
      </c>
      <c r="AL165" s="274">
        <f t="shared" si="74"/>
        <v>0</v>
      </c>
      <c r="AN165" s="75" t="str">
        <f t="shared" si="75"/>
        <v>-</v>
      </c>
      <c r="AO165" s="75" t="str">
        <f t="shared" si="76"/>
        <v>-</v>
      </c>
      <c r="AP165" s="48">
        <f t="shared" si="79"/>
        <v>0</v>
      </c>
      <c r="AQ165" s="48">
        <f t="shared" si="77"/>
        <v>0</v>
      </c>
      <c r="AR165" s="49">
        <f t="shared" si="78"/>
        <v>0</v>
      </c>
    </row>
    <row r="166" spans="1:44" ht="15">
      <c r="A166" s="38" t="s">
        <v>4191</v>
      </c>
      <c r="B166" s="38" t="s">
        <v>31</v>
      </c>
      <c r="C166" s="38" t="s">
        <v>3771</v>
      </c>
      <c r="D166" s="38" t="s">
        <v>4214</v>
      </c>
      <c r="E166" s="38">
        <v>0</v>
      </c>
      <c r="F166" s="38">
        <v>448</v>
      </c>
      <c r="G166" s="47">
        <f t="shared" si="60"/>
        <v>4.3727031303423702E-2</v>
      </c>
      <c r="H166" s="44">
        <v>449</v>
      </c>
      <c r="I166" s="44"/>
      <c r="J166" s="45">
        <f t="shared" si="59"/>
        <v>449</v>
      </c>
      <c r="K166" s="38"/>
      <c r="L166" s="38"/>
      <c r="M166" s="38"/>
      <c r="N166" s="34">
        <f>VLOOKUP(F166,'GHG Emissions Factors'!$B$2:$C$4000,2,FALSE)</f>
        <v>0</v>
      </c>
      <c r="O166" s="45">
        <f t="shared" si="61"/>
        <v>0</v>
      </c>
      <c r="P166" s="34">
        <f>IF(L166="yes", 0, _xlfn.XLOOKUP(F166, 'GHG Emissions Factors'!$B$2:$B$4000, 'GHG Emissions Factors'!$D$2:$D$4000, 0))</f>
        <v>0</v>
      </c>
      <c r="Q166" s="46"/>
      <c r="R166" s="46"/>
      <c r="S166" s="46">
        <f>ProcurementAllocationData[[#This Row],[Net MWhs Procured]]-(ProcurementAllocationData[[#This Row],[Deep Green]]+ProcurementAllocationData[[#This Row],[LocalSol]]+ProcurementAllocationData[[#This Row],[GreenAccess]])</f>
        <v>449</v>
      </c>
      <c r="T166" s="46"/>
      <c r="U166" s="46"/>
      <c r="V166" s="46"/>
      <c r="W166" s="46"/>
      <c r="X166" s="46"/>
      <c r="Y166" s="112">
        <f t="shared" si="62"/>
        <v>20</v>
      </c>
      <c r="Z166" s="150">
        <f t="shared" si="63"/>
        <v>0</v>
      </c>
      <c r="AA166" s="150">
        <f t="shared" si="64"/>
        <v>20</v>
      </c>
      <c r="AB166" s="113">
        <f t="shared" si="65"/>
        <v>0</v>
      </c>
      <c r="AC166" s="36"/>
      <c r="AD166" s="272" t="str">
        <f t="shared" si="66"/>
        <v>Gianelli Powerplant - Gianelli (2)</v>
      </c>
      <c r="AE166" s="273">
        <f t="shared" si="67"/>
        <v>0</v>
      </c>
      <c r="AF166" s="273">
        <f t="shared" si="68"/>
        <v>0</v>
      </c>
      <c r="AG166" s="273">
        <f t="shared" si="69"/>
        <v>0</v>
      </c>
      <c r="AH166" s="273">
        <f t="shared" si="70"/>
        <v>0</v>
      </c>
      <c r="AI166" s="273">
        <f t="shared" si="71"/>
        <v>0</v>
      </c>
      <c r="AJ166" s="273">
        <f t="shared" si="72"/>
        <v>0</v>
      </c>
      <c r="AK166" s="273">
        <f t="shared" si="73"/>
        <v>0</v>
      </c>
      <c r="AL166" s="274">
        <f t="shared" si="74"/>
        <v>0</v>
      </c>
      <c r="AN166" s="75" t="str">
        <f t="shared" si="75"/>
        <v>-</v>
      </c>
      <c r="AO166" s="75" t="str">
        <f t="shared" si="76"/>
        <v>-</v>
      </c>
      <c r="AP166" s="48">
        <f t="shared" si="79"/>
        <v>0</v>
      </c>
      <c r="AQ166" s="48">
        <f t="shared" si="77"/>
        <v>0</v>
      </c>
      <c r="AR166" s="49">
        <f t="shared" si="78"/>
        <v>0</v>
      </c>
    </row>
    <row r="167" spans="1:44" ht="15">
      <c r="A167" s="38" t="s">
        <v>4192</v>
      </c>
      <c r="B167" s="38" t="s">
        <v>31</v>
      </c>
      <c r="C167" s="38" t="s">
        <v>3771</v>
      </c>
      <c r="D167" s="38" t="s">
        <v>4215</v>
      </c>
      <c r="E167" s="38">
        <v>0</v>
      </c>
      <c r="F167" s="38">
        <v>448</v>
      </c>
      <c r="G167" s="47">
        <f t="shared" si="60"/>
        <v>4.3727031303423702E-2</v>
      </c>
      <c r="H167" s="44">
        <v>169</v>
      </c>
      <c r="I167" s="44"/>
      <c r="J167" s="45">
        <f t="shared" si="59"/>
        <v>169</v>
      </c>
      <c r="K167" s="38"/>
      <c r="L167" s="38"/>
      <c r="M167" s="38"/>
      <c r="N167" s="34">
        <f>VLOOKUP(F167,'GHG Emissions Factors'!$B$2:$C$4000,2,FALSE)</f>
        <v>0</v>
      </c>
      <c r="O167" s="45">
        <f t="shared" si="61"/>
        <v>0</v>
      </c>
      <c r="P167" s="34">
        <f>IF(L167="yes", 0, _xlfn.XLOOKUP(F167, 'GHG Emissions Factors'!$B$2:$B$4000, 'GHG Emissions Factors'!$D$2:$D$4000, 0))</f>
        <v>0</v>
      </c>
      <c r="Q167" s="46"/>
      <c r="R167" s="46"/>
      <c r="S167" s="46">
        <f>ProcurementAllocationData[[#This Row],[Net MWhs Procured]]-(ProcurementAllocationData[[#This Row],[Deep Green]]+ProcurementAllocationData[[#This Row],[LocalSol]]+ProcurementAllocationData[[#This Row],[GreenAccess]])</f>
        <v>169</v>
      </c>
      <c r="T167" s="46"/>
      <c r="U167" s="46"/>
      <c r="V167" s="46"/>
      <c r="W167" s="46"/>
      <c r="X167" s="46"/>
      <c r="Y167" s="112">
        <f t="shared" si="62"/>
        <v>7</v>
      </c>
      <c r="Z167" s="150">
        <f t="shared" si="63"/>
        <v>0</v>
      </c>
      <c r="AA167" s="150">
        <f t="shared" si="64"/>
        <v>7</v>
      </c>
      <c r="AB167" s="113">
        <f t="shared" si="65"/>
        <v>0</v>
      </c>
      <c r="AC167" s="36"/>
      <c r="AD167" s="272" t="str">
        <f t="shared" si="66"/>
        <v>Gianelli Powerplant - Gianelli (6)</v>
      </c>
      <c r="AE167" s="273">
        <f t="shared" si="67"/>
        <v>0</v>
      </c>
      <c r="AF167" s="273">
        <f t="shared" si="68"/>
        <v>0</v>
      </c>
      <c r="AG167" s="273">
        <f t="shared" si="69"/>
        <v>0</v>
      </c>
      <c r="AH167" s="273">
        <f t="shared" si="70"/>
        <v>0</v>
      </c>
      <c r="AI167" s="273">
        <f t="shared" si="71"/>
        <v>0</v>
      </c>
      <c r="AJ167" s="273">
        <f t="shared" si="72"/>
        <v>0</v>
      </c>
      <c r="AK167" s="273">
        <f t="shared" si="73"/>
        <v>0</v>
      </c>
      <c r="AL167" s="274">
        <f t="shared" si="74"/>
        <v>0</v>
      </c>
      <c r="AN167" s="75" t="str">
        <f t="shared" si="75"/>
        <v>-</v>
      </c>
      <c r="AO167" s="75" t="str">
        <f t="shared" si="76"/>
        <v>-</v>
      </c>
      <c r="AP167" s="48">
        <f t="shared" si="79"/>
        <v>0</v>
      </c>
      <c r="AQ167" s="48">
        <f t="shared" si="77"/>
        <v>0</v>
      </c>
      <c r="AR167" s="49">
        <f t="shared" si="78"/>
        <v>0</v>
      </c>
    </row>
    <row r="168" spans="1:44" ht="15">
      <c r="A168" s="38" t="s">
        <v>4193</v>
      </c>
      <c r="B168" s="38" t="s">
        <v>31</v>
      </c>
      <c r="C168" s="38" t="s">
        <v>3771</v>
      </c>
      <c r="D168" s="38" t="s">
        <v>4216</v>
      </c>
      <c r="E168" s="38">
        <v>0</v>
      </c>
      <c r="F168" s="38">
        <v>442</v>
      </c>
      <c r="G168" s="47">
        <f t="shared" si="60"/>
        <v>4.3727031303423702E-2</v>
      </c>
      <c r="H168" s="44">
        <v>1273</v>
      </c>
      <c r="I168" s="44"/>
      <c r="J168" s="45">
        <f t="shared" si="59"/>
        <v>1273</v>
      </c>
      <c r="K168" s="38"/>
      <c r="L168" s="38"/>
      <c r="M168" s="38"/>
      <c r="N168" s="34">
        <f>VLOOKUP(F168,'GHG Emissions Factors'!$B$2:$C$4000,2,FALSE)</f>
        <v>0</v>
      </c>
      <c r="O168" s="45">
        <f t="shared" si="61"/>
        <v>0</v>
      </c>
      <c r="P168" s="34">
        <f>IF(L168="yes", 0, _xlfn.XLOOKUP(F168, 'GHG Emissions Factors'!$B$2:$B$4000, 'GHG Emissions Factors'!$D$2:$D$4000, 0))</f>
        <v>0</v>
      </c>
      <c r="Q168" s="46"/>
      <c r="R168" s="46"/>
      <c r="S168" s="46">
        <f>ProcurementAllocationData[[#This Row],[Net MWhs Procured]]-(ProcurementAllocationData[[#This Row],[Deep Green]]+ProcurementAllocationData[[#This Row],[LocalSol]]+ProcurementAllocationData[[#This Row],[GreenAccess]])</f>
        <v>1273</v>
      </c>
      <c r="T168" s="46"/>
      <c r="U168" s="46"/>
      <c r="V168" s="46"/>
      <c r="W168" s="46"/>
      <c r="X168" s="46"/>
      <c r="Y168" s="112">
        <f t="shared" si="62"/>
        <v>56</v>
      </c>
      <c r="Z168" s="150">
        <f t="shared" si="63"/>
        <v>0</v>
      </c>
      <c r="AA168" s="150">
        <f t="shared" si="64"/>
        <v>56</v>
      </c>
      <c r="AB168" s="113">
        <f t="shared" si="65"/>
        <v>0</v>
      </c>
      <c r="AC168" s="36"/>
      <c r="AD168" s="272" t="str">
        <f t="shared" si="66"/>
        <v>J.F. Carr Powerplant - J.F. Carr Unit 1</v>
      </c>
      <c r="AE168" s="273">
        <f t="shared" si="67"/>
        <v>0</v>
      </c>
      <c r="AF168" s="273">
        <f t="shared" si="68"/>
        <v>0</v>
      </c>
      <c r="AG168" s="273">
        <f t="shared" si="69"/>
        <v>0</v>
      </c>
      <c r="AH168" s="273">
        <f t="shared" si="70"/>
        <v>0</v>
      </c>
      <c r="AI168" s="273">
        <f t="shared" si="71"/>
        <v>0</v>
      </c>
      <c r="AJ168" s="273">
        <f t="shared" si="72"/>
        <v>0</v>
      </c>
      <c r="AK168" s="273">
        <f t="shared" si="73"/>
        <v>0</v>
      </c>
      <c r="AL168" s="274">
        <f t="shared" si="74"/>
        <v>0</v>
      </c>
      <c r="AN168" s="75" t="str">
        <f t="shared" si="75"/>
        <v>-</v>
      </c>
      <c r="AO168" s="75" t="str">
        <f t="shared" si="76"/>
        <v>-</v>
      </c>
      <c r="AP168" s="48">
        <f t="shared" si="79"/>
        <v>0</v>
      </c>
      <c r="AQ168" s="48">
        <f t="shared" si="77"/>
        <v>0</v>
      </c>
      <c r="AR168" s="49">
        <f t="shared" si="78"/>
        <v>0</v>
      </c>
    </row>
    <row r="169" spans="1:44" ht="15">
      <c r="A169" s="38" t="s">
        <v>4194</v>
      </c>
      <c r="B169" s="38" t="s">
        <v>31</v>
      </c>
      <c r="C169" s="38" t="s">
        <v>3771</v>
      </c>
      <c r="D169" s="38" t="s">
        <v>4217</v>
      </c>
      <c r="E169" s="38">
        <v>0</v>
      </c>
      <c r="F169" s="38">
        <v>442</v>
      </c>
      <c r="G169" s="47">
        <f t="shared" si="60"/>
        <v>4.3727031303423702E-2</v>
      </c>
      <c r="H169" s="44">
        <v>265</v>
      </c>
      <c r="I169" s="44"/>
      <c r="J169" s="45">
        <f t="shared" si="59"/>
        <v>265</v>
      </c>
      <c r="K169" s="38"/>
      <c r="L169" s="38"/>
      <c r="M169" s="38"/>
      <c r="N169" s="34">
        <f>VLOOKUP(F169,'GHG Emissions Factors'!$B$2:$C$4000,2,FALSE)</f>
        <v>0</v>
      </c>
      <c r="O169" s="45">
        <f t="shared" si="61"/>
        <v>0</v>
      </c>
      <c r="P169" s="34">
        <f>IF(L169="yes", 0, _xlfn.XLOOKUP(F169, 'GHG Emissions Factors'!$B$2:$B$4000, 'GHG Emissions Factors'!$D$2:$D$4000, 0))</f>
        <v>0</v>
      </c>
      <c r="Q169" s="46"/>
      <c r="R169" s="46"/>
      <c r="S169" s="46">
        <f>ProcurementAllocationData[[#This Row],[Net MWhs Procured]]-(ProcurementAllocationData[[#This Row],[Deep Green]]+ProcurementAllocationData[[#This Row],[LocalSol]]+ProcurementAllocationData[[#This Row],[GreenAccess]])</f>
        <v>265</v>
      </c>
      <c r="T169" s="46"/>
      <c r="U169" s="46"/>
      <c r="V169" s="46"/>
      <c r="W169" s="46"/>
      <c r="X169" s="46"/>
      <c r="Y169" s="112">
        <f t="shared" si="62"/>
        <v>12</v>
      </c>
      <c r="Z169" s="150">
        <f t="shared" si="63"/>
        <v>0</v>
      </c>
      <c r="AA169" s="150">
        <f t="shared" si="64"/>
        <v>12</v>
      </c>
      <c r="AB169" s="113">
        <f t="shared" si="65"/>
        <v>0</v>
      </c>
      <c r="AC169" s="36"/>
      <c r="AD169" s="272" t="str">
        <f t="shared" si="66"/>
        <v>J.F. Carr Powerplant - J.F. Carr Unit 2</v>
      </c>
      <c r="AE169" s="273">
        <f t="shared" si="67"/>
        <v>0</v>
      </c>
      <c r="AF169" s="273">
        <f t="shared" si="68"/>
        <v>0</v>
      </c>
      <c r="AG169" s="273">
        <f t="shared" si="69"/>
        <v>0</v>
      </c>
      <c r="AH169" s="273">
        <f t="shared" si="70"/>
        <v>0</v>
      </c>
      <c r="AI169" s="273">
        <f t="shared" si="71"/>
        <v>0</v>
      </c>
      <c r="AJ169" s="273">
        <f t="shared" si="72"/>
        <v>0</v>
      </c>
      <c r="AK169" s="273">
        <f t="shared" si="73"/>
        <v>0</v>
      </c>
      <c r="AL169" s="274">
        <f t="shared" si="74"/>
        <v>0</v>
      </c>
      <c r="AN169" s="75" t="str">
        <f t="shared" si="75"/>
        <v>-</v>
      </c>
      <c r="AO169" s="75" t="str">
        <f t="shared" si="76"/>
        <v>-</v>
      </c>
      <c r="AP169" s="48">
        <f t="shared" si="79"/>
        <v>0</v>
      </c>
      <c r="AQ169" s="48">
        <f t="shared" si="77"/>
        <v>0</v>
      </c>
      <c r="AR169" s="49">
        <f t="shared" si="78"/>
        <v>0</v>
      </c>
    </row>
    <row r="170" spans="1:44" ht="15">
      <c r="A170" s="38" t="s">
        <v>4195</v>
      </c>
      <c r="B170" s="38" t="s">
        <v>31</v>
      </c>
      <c r="C170" s="38" t="s">
        <v>3771</v>
      </c>
      <c r="D170" s="38" t="s">
        <v>4218</v>
      </c>
      <c r="E170" s="38">
        <v>0</v>
      </c>
      <c r="F170" s="38">
        <v>443</v>
      </c>
      <c r="G170" s="47">
        <f t="shared" si="60"/>
        <v>4.3727031303423702E-2</v>
      </c>
      <c r="H170" s="44">
        <v>2046</v>
      </c>
      <c r="I170" s="44"/>
      <c r="J170" s="45">
        <f t="shared" si="59"/>
        <v>2046</v>
      </c>
      <c r="K170" s="38"/>
      <c r="L170" s="38"/>
      <c r="M170" s="38"/>
      <c r="N170" s="34">
        <f>VLOOKUP(F170,'GHG Emissions Factors'!$B$2:$C$4000,2,FALSE)</f>
        <v>0</v>
      </c>
      <c r="O170" s="45">
        <f t="shared" si="61"/>
        <v>0</v>
      </c>
      <c r="P170" s="34">
        <f>IF(L170="yes", 0, _xlfn.XLOOKUP(F170, 'GHG Emissions Factors'!$B$2:$B$4000, 'GHG Emissions Factors'!$D$2:$D$4000, 0))</f>
        <v>0</v>
      </c>
      <c r="Q170" s="46"/>
      <c r="R170" s="46"/>
      <c r="S170" s="46">
        <f>ProcurementAllocationData[[#This Row],[Net MWhs Procured]]-(ProcurementAllocationData[[#This Row],[Deep Green]]+ProcurementAllocationData[[#This Row],[LocalSol]]+ProcurementAllocationData[[#This Row],[GreenAccess]])</f>
        <v>2046</v>
      </c>
      <c r="T170" s="46"/>
      <c r="U170" s="46"/>
      <c r="V170" s="46"/>
      <c r="W170" s="46"/>
      <c r="X170" s="46"/>
      <c r="Y170" s="112">
        <f t="shared" si="62"/>
        <v>89</v>
      </c>
      <c r="Z170" s="150">
        <f t="shared" si="63"/>
        <v>0</v>
      </c>
      <c r="AA170" s="150">
        <f t="shared" si="64"/>
        <v>89</v>
      </c>
      <c r="AB170" s="113">
        <f t="shared" si="65"/>
        <v>0</v>
      </c>
      <c r="AC170" s="36"/>
      <c r="AD170" s="272" t="str">
        <f t="shared" si="66"/>
        <v>Keswick Powerplant - Keswick Powerplant (3)</v>
      </c>
      <c r="AE170" s="273">
        <f t="shared" si="67"/>
        <v>0</v>
      </c>
      <c r="AF170" s="273">
        <f t="shared" si="68"/>
        <v>0</v>
      </c>
      <c r="AG170" s="273">
        <f t="shared" si="69"/>
        <v>0</v>
      </c>
      <c r="AH170" s="273">
        <f t="shared" si="70"/>
        <v>0</v>
      </c>
      <c r="AI170" s="273">
        <f t="shared" si="71"/>
        <v>0</v>
      </c>
      <c r="AJ170" s="273">
        <f t="shared" si="72"/>
        <v>0</v>
      </c>
      <c r="AK170" s="273">
        <f t="shared" si="73"/>
        <v>0</v>
      </c>
      <c r="AL170" s="274">
        <f t="shared" si="74"/>
        <v>0</v>
      </c>
      <c r="AN170" s="75" t="str">
        <f t="shared" si="75"/>
        <v>-</v>
      </c>
      <c r="AO170" s="75" t="str">
        <f t="shared" si="76"/>
        <v>-</v>
      </c>
      <c r="AP170" s="48">
        <f t="shared" si="79"/>
        <v>0</v>
      </c>
      <c r="AQ170" s="48">
        <f t="shared" si="77"/>
        <v>0</v>
      </c>
      <c r="AR170" s="49">
        <f t="shared" si="78"/>
        <v>0</v>
      </c>
    </row>
    <row r="171" spans="1:44" ht="15">
      <c r="A171" s="38" t="s">
        <v>4196</v>
      </c>
      <c r="B171" s="38" t="s">
        <v>28</v>
      </c>
      <c r="C171" s="38" t="s">
        <v>3771</v>
      </c>
      <c r="D171" s="38" t="s">
        <v>4219</v>
      </c>
      <c r="E171" s="38" t="s">
        <v>4220</v>
      </c>
      <c r="F171" s="38">
        <v>977</v>
      </c>
      <c r="G171" s="47">
        <f t="shared" si="60"/>
        <v>4.3727031303423702E-2</v>
      </c>
      <c r="H171" s="44">
        <v>9</v>
      </c>
      <c r="I171" s="44"/>
      <c r="J171" s="45">
        <f t="shared" si="59"/>
        <v>9</v>
      </c>
      <c r="K171" s="38"/>
      <c r="L171" s="38"/>
      <c r="M171" s="38"/>
      <c r="N171" s="34">
        <f>VLOOKUP(F171,'GHG Emissions Factors'!$B$2:$C$4000,2,FALSE)</f>
        <v>0</v>
      </c>
      <c r="O171" s="45">
        <f t="shared" si="61"/>
        <v>0</v>
      </c>
      <c r="P171" s="34">
        <f>IF(L171="yes", 0, _xlfn.XLOOKUP(F171, 'GHG Emissions Factors'!$B$2:$B$4000, 'GHG Emissions Factors'!$D$2:$D$4000, 0))</f>
        <v>0</v>
      </c>
      <c r="Q171" s="46"/>
      <c r="R171" s="46"/>
      <c r="S171" s="46">
        <f>ProcurementAllocationData[[#This Row],[Net MWhs Procured]]-(ProcurementAllocationData[[#This Row],[Deep Green]]+ProcurementAllocationData[[#This Row],[LocalSol]]+ProcurementAllocationData[[#This Row],[GreenAccess]])</f>
        <v>9</v>
      </c>
      <c r="T171" s="46"/>
      <c r="U171" s="46"/>
      <c r="V171" s="46"/>
      <c r="W171" s="46"/>
      <c r="X171" s="46"/>
      <c r="Y171" s="112">
        <f t="shared" si="62"/>
        <v>0</v>
      </c>
      <c r="Z171" s="150">
        <f t="shared" si="63"/>
        <v>0</v>
      </c>
      <c r="AA171" s="150">
        <f t="shared" si="64"/>
        <v>0</v>
      </c>
      <c r="AB171" s="113">
        <f t="shared" si="65"/>
        <v>0</v>
      </c>
      <c r="AC171" s="36"/>
      <c r="AD171" s="272" t="str">
        <f t="shared" si="66"/>
        <v>Lewiston Powerplant - Lewiston</v>
      </c>
      <c r="AE171" s="273">
        <f t="shared" si="67"/>
        <v>0</v>
      </c>
      <c r="AF171" s="273">
        <f t="shared" si="68"/>
        <v>0</v>
      </c>
      <c r="AG171" s="273">
        <f t="shared" si="69"/>
        <v>0</v>
      </c>
      <c r="AH171" s="273">
        <f t="shared" si="70"/>
        <v>0</v>
      </c>
      <c r="AI171" s="273">
        <f t="shared" si="71"/>
        <v>0</v>
      </c>
      <c r="AJ171" s="273">
        <f t="shared" si="72"/>
        <v>0</v>
      </c>
      <c r="AK171" s="273">
        <f t="shared" si="73"/>
        <v>0</v>
      </c>
      <c r="AL171" s="274">
        <f t="shared" si="74"/>
        <v>0</v>
      </c>
      <c r="AN171" s="75" t="str">
        <f t="shared" si="75"/>
        <v>-</v>
      </c>
      <c r="AO171" s="75" t="str">
        <f t="shared" si="76"/>
        <v>-</v>
      </c>
      <c r="AP171" s="48">
        <f t="shared" si="79"/>
        <v>0</v>
      </c>
      <c r="AQ171" s="48">
        <f t="shared" si="77"/>
        <v>0</v>
      </c>
      <c r="AR171" s="49">
        <f t="shared" si="78"/>
        <v>0</v>
      </c>
    </row>
    <row r="172" spans="1:44" ht="15">
      <c r="A172" s="38" t="s">
        <v>4197</v>
      </c>
      <c r="B172" s="38" t="s">
        <v>31</v>
      </c>
      <c r="C172" s="38" t="s">
        <v>3771</v>
      </c>
      <c r="D172" s="38" t="s">
        <v>4221</v>
      </c>
      <c r="E172" s="38">
        <v>0</v>
      </c>
      <c r="F172" s="38">
        <v>6158</v>
      </c>
      <c r="G172" s="47">
        <f t="shared" si="60"/>
        <v>4.3727031303423702E-2</v>
      </c>
      <c r="H172" s="44">
        <v>1343</v>
      </c>
      <c r="I172" s="44"/>
      <c r="J172" s="45">
        <f t="shared" si="59"/>
        <v>1343</v>
      </c>
      <c r="K172" s="38"/>
      <c r="L172" s="38"/>
      <c r="M172" s="38"/>
      <c r="N172" s="34">
        <f>VLOOKUP(F172,'GHG Emissions Factors'!$B$2:$C$4000,2,FALSE)</f>
        <v>0</v>
      </c>
      <c r="O172" s="45">
        <f t="shared" si="61"/>
        <v>0</v>
      </c>
      <c r="P172" s="34">
        <f>IF(L172="yes", 0, _xlfn.XLOOKUP(F172, 'GHG Emissions Factors'!$B$2:$B$4000, 'GHG Emissions Factors'!$D$2:$D$4000, 0))</f>
        <v>0</v>
      </c>
      <c r="Q172" s="46"/>
      <c r="R172" s="46"/>
      <c r="S172" s="46">
        <f>ProcurementAllocationData[[#This Row],[Net MWhs Procured]]-(ProcurementAllocationData[[#This Row],[Deep Green]]+ProcurementAllocationData[[#This Row],[LocalSol]]+ProcurementAllocationData[[#This Row],[GreenAccess]])</f>
        <v>1343</v>
      </c>
      <c r="T172" s="46"/>
      <c r="U172" s="46"/>
      <c r="V172" s="46"/>
      <c r="W172" s="46"/>
      <c r="X172" s="46"/>
      <c r="Y172" s="112">
        <f t="shared" si="62"/>
        <v>59</v>
      </c>
      <c r="Z172" s="150">
        <f t="shared" si="63"/>
        <v>0</v>
      </c>
      <c r="AA172" s="150">
        <f t="shared" si="64"/>
        <v>59</v>
      </c>
      <c r="AB172" s="113">
        <f t="shared" si="65"/>
        <v>0</v>
      </c>
      <c r="AC172" s="36"/>
      <c r="AD172" s="272" t="str">
        <f t="shared" si="66"/>
        <v>New Melones Powerplant - New Melones Unit 1</v>
      </c>
      <c r="AE172" s="273">
        <f t="shared" si="67"/>
        <v>0</v>
      </c>
      <c r="AF172" s="273">
        <f t="shared" si="68"/>
        <v>0</v>
      </c>
      <c r="AG172" s="273">
        <f t="shared" si="69"/>
        <v>0</v>
      </c>
      <c r="AH172" s="273">
        <f t="shared" si="70"/>
        <v>0</v>
      </c>
      <c r="AI172" s="273">
        <f t="shared" si="71"/>
        <v>0</v>
      </c>
      <c r="AJ172" s="273">
        <f t="shared" si="72"/>
        <v>0</v>
      </c>
      <c r="AK172" s="273">
        <f t="shared" si="73"/>
        <v>0</v>
      </c>
      <c r="AL172" s="274">
        <f t="shared" si="74"/>
        <v>0</v>
      </c>
      <c r="AN172" s="75" t="str">
        <f t="shared" si="75"/>
        <v>-</v>
      </c>
      <c r="AO172" s="75" t="str">
        <f t="shared" si="76"/>
        <v>-</v>
      </c>
      <c r="AP172" s="48">
        <f t="shared" si="79"/>
        <v>0</v>
      </c>
      <c r="AQ172" s="48">
        <f t="shared" si="77"/>
        <v>0</v>
      </c>
      <c r="AR172" s="49">
        <f t="shared" si="78"/>
        <v>0</v>
      </c>
    </row>
    <row r="173" spans="1:44" ht="15">
      <c r="A173" s="38" t="s">
        <v>4198</v>
      </c>
      <c r="B173" s="38" t="s">
        <v>31</v>
      </c>
      <c r="C173" s="38" t="s">
        <v>3771</v>
      </c>
      <c r="D173" s="38" t="s">
        <v>4222</v>
      </c>
      <c r="E173" s="38">
        <v>0</v>
      </c>
      <c r="F173" s="38">
        <v>6158</v>
      </c>
      <c r="G173" s="47">
        <f t="shared" si="60"/>
        <v>4.3727031303423702E-2</v>
      </c>
      <c r="H173" s="44">
        <v>26</v>
      </c>
      <c r="I173" s="44"/>
      <c r="J173" s="45">
        <f t="shared" si="59"/>
        <v>26</v>
      </c>
      <c r="K173" s="38"/>
      <c r="L173" s="38"/>
      <c r="M173" s="38"/>
      <c r="N173" s="34">
        <f>VLOOKUP(F173,'GHG Emissions Factors'!$B$2:$C$4000,2,FALSE)</f>
        <v>0</v>
      </c>
      <c r="O173" s="45">
        <f t="shared" si="61"/>
        <v>0</v>
      </c>
      <c r="P173" s="34">
        <f>IF(L173="yes", 0, _xlfn.XLOOKUP(F173, 'GHG Emissions Factors'!$B$2:$B$4000, 'GHG Emissions Factors'!$D$2:$D$4000, 0))</f>
        <v>0</v>
      </c>
      <c r="Q173" s="46"/>
      <c r="R173" s="46"/>
      <c r="S173" s="46">
        <f>ProcurementAllocationData[[#This Row],[Net MWhs Procured]]-(ProcurementAllocationData[[#This Row],[Deep Green]]+ProcurementAllocationData[[#This Row],[LocalSol]]+ProcurementAllocationData[[#This Row],[GreenAccess]])</f>
        <v>26</v>
      </c>
      <c r="T173" s="46"/>
      <c r="U173" s="46"/>
      <c r="V173" s="46"/>
      <c r="W173" s="46"/>
      <c r="X173" s="46"/>
      <c r="Y173" s="112">
        <f t="shared" si="62"/>
        <v>1</v>
      </c>
      <c r="Z173" s="150">
        <f t="shared" si="63"/>
        <v>0</v>
      </c>
      <c r="AA173" s="150">
        <f t="shared" si="64"/>
        <v>1</v>
      </c>
      <c r="AB173" s="113">
        <f t="shared" si="65"/>
        <v>0</v>
      </c>
      <c r="AC173" s="36"/>
      <c r="AD173" s="272" t="str">
        <f t="shared" si="66"/>
        <v>New Melones Powerplant - New Melones Unit 2</v>
      </c>
      <c r="AE173" s="273">
        <f t="shared" si="67"/>
        <v>0</v>
      </c>
      <c r="AF173" s="273">
        <f t="shared" si="68"/>
        <v>0</v>
      </c>
      <c r="AG173" s="273">
        <f t="shared" si="69"/>
        <v>0</v>
      </c>
      <c r="AH173" s="273">
        <f t="shared" si="70"/>
        <v>0</v>
      </c>
      <c r="AI173" s="273">
        <f t="shared" si="71"/>
        <v>0</v>
      </c>
      <c r="AJ173" s="273">
        <f t="shared" si="72"/>
        <v>0</v>
      </c>
      <c r="AK173" s="273">
        <f t="shared" si="73"/>
        <v>0</v>
      </c>
      <c r="AL173" s="274">
        <f t="shared" si="74"/>
        <v>0</v>
      </c>
      <c r="AN173" s="75" t="str">
        <f t="shared" si="75"/>
        <v>-</v>
      </c>
      <c r="AO173" s="75" t="str">
        <f t="shared" si="76"/>
        <v>-</v>
      </c>
      <c r="AP173" s="48">
        <f t="shared" si="79"/>
        <v>0</v>
      </c>
      <c r="AQ173" s="48">
        <f t="shared" si="77"/>
        <v>0</v>
      </c>
      <c r="AR173" s="49">
        <f t="shared" si="78"/>
        <v>0</v>
      </c>
    </row>
    <row r="174" spans="1:44" ht="15">
      <c r="A174" s="38" t="s">
        <v>4199</v>
      </c>
      <c r="B174" s="38" t="s">
        <v>28</v>
      </c>
      <c r="C174" s="38" t="s">
        <v>3771</v>
      </c>
      <c r="D174" s="38" t="s">
        <v>4223</v>
      </c>
      <c r="E174" s="38" t="s">
        <v>4224</v>
      </c>
      <c r="F174" s="38">
        <v>444</v>
      </c>
      <c r="G174" s="47">
        <f t="shared" si="60"/>
        <v>4.3727031303423702E-2</v>
      </c>
      <c r="H174" s="44">
        <v>328</v>
      </c>
      <c r="I174" s="44"/>
      <c r="J174" s="45">
        <f t="shared" si="59"/>
        <v>328</v>
      </c>
      <c r="K174" s="38"/>
      <c r="L174" s="38"/>
      <c r="M174" s="38"/>
      <c r="N174" s="34">
        <f>VLOOKUP(F174,'GHG Emissions Factors'!$B$2:$C$4000,2,FALSE)</f>
        <v>0</v>
      </c>
      <c r="O174" s="45">
        <f t="shared" si="61"/>
        <v>0</v>
      </c>
      <c r="P174" s="34">
        <f>IF(L174="yes", 0, _xlfn.XLOOKUP(F174, 'GHG Emissions Factors'!$B$2:$B$4000, 'GHG Emissions Factors'!$D$2:$D$4000, 0))</f>
        <v>0</v>
      </c>
      <c r="Q174" s="46"/>
      <c r="R174" s="46"/>
      <c r="S174" s="46">
        <f>ProcurementAllocationData[[#This Row],[Net MWhs Procured]]-(ProcurementAllocationData[[#This Row],[Deep Green]]+ProcurementAllocationData[[#This Row],[LocalSol]]+ProcurementAllocationData[[#This Row],[GreenAccess]])</f>
        <v>328</v>
      </c>
      <c r="T174" s="46"/>
      <c r="U174" s="46"/>
      <c r="V174" s="46"/>
      <c r="W174" s="46"/>
      <c r="X174" s="46"/>
      <c r="Y174" s="112">
        <f t="shared" si="62"/>
        <v>14</v>
      </c>
      <c r="Z174" s="150">
        <f t="shared" si="63"/>
        <v>0</v>
      </c>
      <c r="AA174" s="150">
        <f t="shared" si="64"/>
        <v>14</v>
      </c>
      <c r="AB174" s="113">
        <f t="shared" si="65"/>
        <v>0</v>
      </c>
      <c r="AC174" s="36"/>
      <c r="AD174" s="272" t="str">
        <f t="shared" si="66"/>
        <v>Nimbus Powerplant - Nimbus Plant (2)</v>
      </c>
      <c r="AE174" s="273">
        <f t="shared" si="67"/>
        <v>0</v>
      </c>
      <c r="AF174" s="273">
        <f t="shared" si="68"/>
        <v>0</v>
      </c>
      <c r="AG174" s="273">
        <f t="shared" si="69"/>
        <v>0</v>
      </c>
      <c r="AH174" s="273">
        <f t="shared" si="70"/>
        <v>0</v>
      </c>
      <c r="AI174" s="273">
        <f t="shared" si="71"/>
        <v>0</v>
      </c>
      <c r="AJ174" s="273">
        <f t="shared" si="72"/>
        <v>0</v>
      </c>
      <c r="AK174" s="273">
        <f t="shared" si="73"/>
        <v>0</v>
      </c>
      <c r="AL174" s="274">
        <f t="shared" si="74"/>
        <v>0</v>
      </c>
      <c r="AN174" s="75" t="str">
        <f t="shared" si="75"/>
        <v>-</v>
      </c>
      <c r="AO174" s="75" t="str">
        <f t="shared" si="76"/>
        <v>-</v>
      </c>
      <c r="AP174" s="48">
        <f t="shared" si="79"/>
        <v>0</v>
      </c>
      <c r="AQ174" s="48">
        <f t="shared" si="77"/>
        <v>0</v>
      </c>
      <c r="AR174" s="49">
        <f t="shared" si="78"/>
        <v>0</v>
      </c>
    </row>
    <row r="175" spans="1:44" ht="15">
      <c r="A175" s="38" t="s">
        <v>4200</v>
      </c>
      <c r="B175" s="38" t="s">
        <v>31</v>
      </c>
      <c r="C175" s="38" t="s">
        <v>3771</v>
      </c>
      <c r="D175" s="38" t="s">
        <v>4225</v>
      </c>
      <c r="E175" s="38">
        <v>0</v>
      </c>
      <c r="F175" s="38">
        <v>446</v>
      </c>
      <c r="G175" s="47">
        <f t="shared" si="60"/>
        <v>4.3727031303423702E-2</v>
      </c>
      <c r="H175" s="44">
        <v>3</v>
      </c>
      <c r="I175" s="44"/>
      <c r="J175" s="45">
        <f t="shared" si="59"/>
        <v>3</v>
      </c>
      <c r="K175" s="38"/>
      <c r="L175" s="38"/>
      <c r="M175" s="38"/>
      <c r="N175" s="34">
        <f>VLOOKUP(F175,'GHG Emissions Factors'!$B$2:$C$4000,2,FALSE)</f>
        <v>0</v>
      </c>
      <c r="O175" s="45">
        <f t="shared" si="61"/>
        <v>0</v>
      </c>
      <c r="P175" s="34">
        <f>IF(L175="yes", 0, _xlfn.XLOOKUP(F175, 'GHG Emissions Factors'!$B$2:$B$4000, 'GHG Emissions Factors'!$D$2:$D$4000, 0))</f>
        <v>0</v>
      </c>
      <c r="Q175" s="46"/>
      <c r="R175" s="46"/>
      <c r="S175" s="46">
        <f>ProcurementAllocationData[[#This Row],[Net MWhs Procured]]-(ProcurementAllocationData[[#This Row],[Deep Green]]+ProcurementAllocationData[[#This Row],[LocalSol]]+ProcurementAllocationData[[#This Row],[GreenAccess]])</f>
        <v>3</v>
      </c>
      <c r="T175" s="46"/>
      <c r="U175" s="46"/>
      <c r="V175" s="46"/>
      <c r="W175" s="46"/>
      <c r="X175" s="46"/>
      <c r="Y175" s="112">
        <f t="shared" si="62"/>
        <v>0</v>
      </c>
      <c r="Z175" s="150">
        <f t="shared" si="63"/>
        <v>0</v>
      </c>
      <c r="AA175" s="150">
        <f t="shared" si="64"/>
        <v>0</v>
      </c>
      <c r="AB175" s="113">
        <f t="shared" si="65"/>
        <v>0</v>
      </c>
      <c r="AC175" s="36"/>
      <c r="AD175" s="272" t="str">
        <f t="shared" si="66"/>
        <v>O'Neill Powerplant - O'Neil (alt 3)</v>
      </c>
      <c r="AE175" s="273">
        <f t="shared" si="67"/>
        <v>0</v>
      </c>
      <c r="AF175" s="273">
        <f t="shared" si="68"/>
        <v>0</v>
      </c>
      <c r="AG175" s="273">
        <f t="shared" si="69"/>
        <v>0</v>
      </c>
      <c r="AH175" s="273">
        <f t="shared" si="70"/>
        <v>0</v>
      </c>
      <c r="AI175" s="273">
        <f t="shared" si="71"/>
        <v>0</v>
      </c>
      <c r="AJ175" s="273">
        <f t="shared" si="72"/>
        <v>0</v>
      </c>
      <c r="AK175" s="273">
        <f t="shared" si="73"/>
        <v>0</v>
      </c>
      <c r="AL175" s="274">
        <f t="shared" si="74"/>
        <v>0</v>
      </c>
      <c r="AN175" s="75" t="str">
        <f t="shared" si="75"/>
        <v>-</v>
      </c>
      <c r="AO175" s="75" t="str">
        <f t="shared" si="76"/>
        <v>-</v>
      </c>
      <c r="AP175" s="48">
        <f t="shared" si="79"/>
        <v>0</v>
      </c>
      <c r="AQ175" s="48">
        <f t="shared" si="77"/>
        <v>0</v>
      </c>
      <c r="AR175" s="49">
        <f t="shared" si="78"/>
        <v>0</v>
      </c>
    </row>
    <row r="176" spans="1:44" ht="15">
      <c r="A176" s="38" t="s">
        <v>4201</v>
      </c>
      <c r="B176" s="38" t="s">
        <v>31</v>
      </c>
      <c r="C176" s="38" t="s">
        <v>3771</v>
      </c>
      <c r="D176" s="38" t="s">
        <v>4226</v>
      </c>
      <c r="E176" s="38">
        <v>0</v>
      </c>
      <c r="F176" s="38">
        <v>446</v>
      </c>
      <c r="G176" s="47">
        <f t="shared" si="60"/>
        <v>4.3727031303423702E-2</v>
      </c>
      <c r="H176" s="44">
        <v>8</v>
      </c>
      <c r="I176" s="44"/>
      <c r="J176" s="45">
        <f t="shared" si="59"/>
        <v>8</v>
      </c>
      <c r="K176" s="38"/>
      <c r="L176" s="38"/>
      <c r="M176" s="38"/>
      <c r="N176" s="34">
        <f>VLOOKUP(F176,'GHG Emissions Factors'!$B$2:$C$4000,2,FALSE)</f>
        <v>0</v>
      </c>
      <c r="O176" s="45">
        <f t="shared" si="61"/>
        <v>0</v>
      </c>
      <c r="P176" s="34">
        <f>IF(L176="yes", 0, _xlfn.XLOOKUP(F176, 'GHG Emissions Factors'!$B$2:$B$4000, 'GHG Emissions Factors'!$D$2:$D$4000, 0))</f>
        <v>0</v>
      </c>
      <c r="Q176" s="46"/>
      <c r="R176" s="46"/>
      <c r="S176" s="46">
        <f>ProcurementAllocationData[[#This Row],[Net MWhs Procured]]-(ProcurementAllocationData[[#This Row],[Deep Green]]+ProcurementAllocationData[[#This Row],[LocalSol]]+ProcurementAllocationData[[#This Row],[GreenAccess]])</f>
        <v>8</v>
      </c>
      <c r="T176" s="46"/>
      <c r="U176" s="46"/>
      <c r="V176" s="46"/>
      <c r="W176" s="46"/>
      <c r="X176" s="46"/>
      <c r="Y176" s="112">
        <f t="shared" si="62"/>
        <v>0</v>
      </c>
      <c r="Z176" s="150">
        <f t="shared" si="63"/>
        <v>0</v>
      </c>
      <c r="AA176" s="150">
        <f t="shared" si="64"/>
        <v>0</v>
      </c>
      <c r="AB176" s="113">
        <f t="shared" si="65"/>
        <v>0</v>
      </c>
      <c r="AC176" s="36"/>
      <c r="AD176" s="272" t="str">
        <f t="shared" si="66"/>
        <v>O'Neill Powerplant - O'Neill (3)</v>
      </c>
      <c r="AE176" s="273">
        <f t="shared" si="67"/>
        <v>0</v>
      </c>
      <c r="AF176" s="273">
        <f t="shared" si="68"/>
        <v>0</v>
      </c>
      <c r="AG176" s="273">
        <f t="shared" si="69"/>
        <v>0</v>
      </c>
      <c r="AH176" s="273">
        <f t="shared" si="70"/>
        <v>0</v>
      </c>
      <c r="AI176" s="273">
        <f t="shared" si="71"/>
        <v>0</v>
      </c>
      <c r="AJ176" s="273">
        <f t="shared" si="72"/>
        <v>0</v>
      </c>
      <c r="AK176" s="273">
        <f t="shared" si="73"/>
        <v>0</v>
      </c>
      <c r="AL176" s="274">
        <f t="shared" si="74"/>
        <v>0</v>
      </c>
      <c r="AN176" s="75" t="str">
        <f t="shared" si="75"/>
        <v>-</v>
      </c>
      <c r="AO176" s="75" t="str">
        <f t="shared" si="76"/>
        <v>-</v>
      </c>
      <c r="AP176" s="48">
        <f t="shared" si="79"/>
        <v>0</v>
      </c>
      <c r="AQ176" s="48">
        <f t="shared" si="77"/>
        <v>0</v>
      </c>
      <c r="AR176" s="49">
        <f t="shared" si="78"/>
        <v>0</v>
      </c>
    </row>
    <row r="177" spans="1:44" ht="15">
      <c r="A177" s="38" t="s">
        <v>4202</v>
      </c>
      <c r="B177" s="38" t="s">
        <v>31</v>
      </c>
      <c r="C177" s="38" t="s">
        <v>3771</v>
      </c>
      <c r="D177" s="38" t="s">
        <v>4227</v>
      </c>
      <c r="E177" s="38">
        <v>0</v>
      </c>
      <c r="F177" s="38">
        <v>445</v>
      </c>
      <c r="G177" s="47">
        <f t="shared" si="60"/>
        <v>4.3727031303423702E-2</v>
      </c>
      <c r="H177" s="44">
        <v>2365</v>
      </c>
      <c r="I177" s="44"/>
      <c r="J177" s="45">
        <f t="shared" si="59"/>
        <v>2365</v>
      </c>
      <c r="K177" s="38"/>
      <c r="L177" s="38"/>
      <c r="M177" s="38"/>
      <c r="N177" s="34">
        <f>VLOOKUP(F177,'GHG Emissions Factors'!$B$2:$C$4000,2,FALSE)</f>
        <v>0</v>
      </c>
      <c r="O177" s="45">
        <f t="shared" si="61"/>
        <v>0</v>
      </c>
      <c r="P177" s="34">
        <f>IF(L177="yes", 0, _xlfn.XLOOKUP(F177, 'GHG Emissions Factors'!$B$2:$B$4000, 'GHG Emissions Factors'!$D$2:$D$4000, 0))</f>
        <v>0</v>
      </c>
      <c r="Q177" s="46"/>
      <c r="R177" s="46"/>
      <c r="S177" s="46">
        <f>ProcurementAllocationData[[#This Row],[Net MWhs Procured]]-(ProcurementAllocationData[[#This Row],[Deep Green]]+ProcurementAllocationData[[#This Row],[LocalSol]]+ProcurementAllocationData[[#This Row],[GreenAccess]])</f>
        <v>2365</v>
      </c>
      <c r="T177" s="46"/>
      <c r="U177" s="46"/>
      <c r="V177" s="46"/>
      <c r="W177" s="46"/>
      <c r="X177" s="46"/>
      <c r="Y177" s="112">
        <f t="shared" si="62"/>
        <v>103</v>
      </c>
      <c r="Z177" s="150">
        <f t="shared" si="63"/>
        <v>0</v>
      </c>
      <c r="AA177" s="150">
        <f t="shared" si="64"/>
        <v>103</v>
      </c>
      <c r="AB177" s="113">
        <f t="shared" si="65"/>
        <v>0</v>
      </c>
      <c r="AC177" s="36"/>
      <c r="AD177" s="272" t="str">
        <f t="shared" si="66"/>
        <v>Shasta Powerplant - Shasta Unit 1</v>
      </c>
      <c r="AE177" s="273">
        <f t="shared" si="67"/>
        <v>0</v>
      </c>
      <c r="AF177" s="273">
        <f t="shared" si="68"/>
        <v>0</v>
      </c>
      <c r="AG177" s="273">
        <f t="shared" si="69"/>
        <v>0</v>
      </c>
      <c r="AH177" s="273">
        <f t="shared" si="70"/>
        <v>0</v>
      </c>
      <c r="AI177" s="273">
        <f t="shared" si="71"/>
        <v>0</v>
      </c>
      <c r="AJ177" s="273">
        <f t="shared" si="72"/>
        <v>0</v>
      </c>
      <c r="AK177" s="273">
        <f t="shared" si="73"/>
        <v>0</v>
      </c>
      <c r="AL177" s="274">
        <f t="shared" si="74"/>
        <v>0</v>
      </c>
      <c r="AN177" s="75" t="str">
        <f t="shared" si="75"/>
        <v>-</v>
      </c>
      <c r="AO177" s="75" t="str">
        <f t="shared" si="76"/>
        <v>-</v>
      </c>
      <c r="AP177" s="48">
        <f t="shared" si="79"/>
        <v>0</v>
      </c>
      <c r="AQ177" s="48">
        <f t="shared" si="77"/>
        <v>0</v>
      </c>
      <c r="AR177" s="49">
        <f t="shared" si="78"/>
        <v>0</v>
      </c>
    </row>
    <row r="178" spans="1:44" ht="15">
      <c r="A178" s="38" t="s">
        <v>4203</v>
      </c>
      <c r="B178" s="38" t="s">
        <v>31</v>
      </c>
      <c r="C178" s="38" t="s">
        <v>3771</v>
      </c>
      <c r="D178" s="38" t="s">
        <v>4228</v>
      </c>
      <c r="E178" s="38">
        <v>0</v>
      </c>
      <c r="F178" s="38">
        <v>445</v>
      </c>
      <c r="G178" s="47">
        <f t="shared" si="60"/>
        <v>4.3727031303423702E-2</v>
      </c>
      <c r="H178" s="44">
        <v>2288</v>
      </c>
      <c r="I178" s="44"/>
      <c r="J178" s="45">
        <f t="shared" si="59"/>
        <v>2288</v>
      </c>
      <c r="K178" s="38"/>
      <c r="L178" s="38"/>
      <c r="M178" s="38"/>
      <c r="N178" s="34">
        <f>VLOOKUP(F178,'GHG Emissions Factors'!$B$2:$C$4000,2,FALSE)</f>
        <v>0</v>
      </c>
      <c r="O178" s="45">
        <f t="shared" si="61"/>
        <v>0</v>
      </c>
      <c r="P178" s="34">
        <f>IF(L178="yes", 0, _xlfn.XLOOKUP(F178, 'GHG Emissions Factors'!$B$2:$B$4000, 'GHG Emissions Factors'!$D$2:$D$4000, 0))</f>
        <v>0</v>
      </c>
      <c r="Q178" s="46"/>
      <c r="R178" s="46"/>
      <c r="S178" s="46">
        <f>ProcurementAllocationData[[#This Row],[Net MWhs Procured]]-(ProcurementAllocationData[[#This Row],[Deep Green]]+ProcurementAllocationData[[#This Row],[LocalSol]]+ProcurementAllocationData[[#This Row],[GreenAccess]])</f>
        <v>2288</v>
      </c>
      <c r="T178" s="46"/>
      <c r="U178" s="46"/>
      <c r="V178" s="46"/>
      <c r="W178" s="46"/>
      <c r="X178" s="46"/>
      <c r="Y178" s="112">
        <f t="shared" si="62"/>
        <v>100</v>
      </c>
      <c r="Z178" s="150">
        <f t="shared" si="63"/>
        <v>0</v>
      </c>
      <c r="AA178" s="150">
        <f t="shared" si="64"/>
        <v>100</v>
      </c>
      <c r="AB178" s="113">
        <f t="shared" si="65"/>
        <v>0</v>
      </c>
      <c r="AC178" s="36"/>
      <c r="AD178" s="272" t="str">
        <f t="shared" si="66"/>
        <v>Shasta Powerplant - Shasta Unit 2</v>
      </c>
      <c r="AE178" s="273">
        <f t="shared" si="67"/>
        <v>0</v>
      </c>
      <c r="AF178" s="273">
        <f t="shared" si="68"/>
        <v>0</v>
      </c>
      <c r="AG178" s="273">
        <f t="shared" si="69"/>
        <v>0</v>
      </c>
      <c r="AH178" s="273">
        <f t="shared" si="70"/>
        <v>0</v>
      </c>
      <c r="AI178" s="273">
        <f t="shared" si="71"/>
        <v>0</v>
      </c>
      <c r="AJ178" s="273">
        <f t="shared" si="72"/>
        <v>0</v>
      </c>
      <c r="AK178" s="273">
        <f t="shared" si="73"/>
        <v>0</v>
      </c>
      <c r="AL178" s="274">
        <f t="shared" si="74"/>
        <v>0</v>
      </c>
      <c r="AN178" s="75" t="str">
        <f t="shared" si="75"/>
        <v>-</v>
      </c>
      <c r="AO178" s="75" t="str">
        <f t="shared" si="76"/>
        <v>-</v>
      </c>
      <c r="AP178" s="48">
        <f t="shared" si="79"/>
        <v>0</v>
      </c>
      <c r="AQ178" s="48">
        <f t="shared" si="77"/>
        <v>0</v>
      </c>
      <c r="AR178" s="49">
        <f t="shared" si="78"/>
        <v>0</v>
      </c>
    </row>
    <row r="179" spans="1:44" ht="15">
      <c r="A179" s="38" t="s">
        <v>4204</v>
      </c>
      <c r="B179" s="38" t="s">
        <v>31</v>
      </c>
      <c r="C179" s="38" t="s">
        <v>3771</v>
      </c>
      <c r="D179" s="38" t="s">
        <v>4229</v>
      </c>
      <c r="E179" s="38">
        <v>0</v>
      </c>
      <c r="F179" s="38">
        <v>445</v>
      </c>
      <c r="G179" s="47">
        <f t="shared" si="60"/>
        <v>4.3727031303423702E-2</v>
      </c>
      <c r="H179" s="44">
        <v>2958</v>
      </c>
      <c r="I179" s="44"/>
      <c r="J179" s="45">
        <f t="shared" si="59"/>
        <v>2958</v>
      </c>
      <c r="K179" s="38"/>
      <c r="L179" s="38"/>
      <c r="M179" s="38"/>
      <c r="N179" s="34">
        <f>VLOOKUP(F179,'GHG Emissions Factors'!$B$2:$C$4000,2,FALSE)</f>
        <v>0</v>
      </c>
      <c r="O179" s="45">
        <f t="shared" si="61"/>
        <v>0</v>
      </c>
      <c r="P179" s="34">
        <f>IF(L179="yes", 0, _xlfn.XLOOKUP(F179, 'GHG Emissions Factors'!$B$2:$B$4000, 'GHG Emissions Factors'!$D$2:$D$4000, 0))</f>
        <v>0</v>
      </c>
      <c r="Q179" s="46"/>
      <c r="R179" s="46"/>
      <c r="S179" s="46">
        <f>ProcurementAllocationData[[#This Row],[Net MWhs Procured]]-(ProcurementAllocationData[[#This Row],[Deep Green]]+ProcurementAllocationData[[#This Row],[LocalSol]]+ProcurementAllocationData[[#This Row],[GreenAccess]])</f>
        <v>2958</v>
      </c>
      <c r="T179" s="46"/>
      <c r="U179" s="46"/>
      <c r="V179" s="46"/>
      <c r="W179" s="46"/>
      <c r="X179" s="46"/>
      <c r="Y179" s="112">
        <f t="shared" si="62"/>
        <v>129</v>
      </c>
      <c r="Z179" s="150">
        <f t="shared" si="63"/>
        <v>0</v>
      </c>
      <c r="AA179" s="150">
        <f t="shared" si="64"/>
        <v>129</v>
      </c>
      <c r="AB179" s="113">
        <f t="shared" si="65"/>
        <v>0</v>
      </c>
      <c r="AC179" s="36"/>
      <c r="AD179" s="272" t="str">
        <f t="shared" si="66"/>
        <v>Shasta Powerplant - Shasta Unit 3</v>
      </c>
      <c r="AE179" s="273">
        <f t="shared" si="67"/>
        <v>0</v>
      </c>
      <c r="AF179" s="273">
        <f t="shared" si="68"/>
        <v>0</v>
      </c>
      <c r="AG179" s="273">
        <f t="shared" si="69"/>
        <v>0</v>
      </c>
      <c r="AH179" s="273">
        <f t="shared" si="70"/>
        <v>0</v>
      </c>
      <c r="AI179" s="273">
        <f t="shared" si="71"/>
        <v>0</v>
      </c>
      <c r="AJ179" s="273">
        <f t="shared" si="72"/>
        <v>0</v>
      </c>
      <c r="AK179" s="273">
        <f t="shared" si="73"/>
        <v>0</v>
      </c>
      <c r="AL179" s="274">
        <f t="shared" si="74"/>
        <v>0</v>
      </c>
      <c r="AN179" s="75" t="str">
        <f t="shared" si="75"/>
        <v>-</v>
      </c>
      <c r="AO179" s="75" t="str">
        <f t="shared" si="76"/>
        <v>-</v>
      </c>
      <c r="AP179" s="48">
        <f t="shared" si="79"/>
        <v>0</v>
      </c>
      <c r="AQ179" s="48">
        <f t="shared" si="77"/>
        <v>0</v>
      </c>
      <c r="AR179" s="49">
        <f t="shared" si="78"/>
        <v>0</v>
      </c>
    </row>
    <row r="180" spans="1:44" ht="15">
      <c r="A180" s="38" t="s">
        <v>4205</v>
      </c>
      <c r="B180" s="38" t="s">
        <v>31</v>
      </c>
      <c r="C180" s="38" t="s">
        <v>3771</v>
      </c>
      <c r="D180" s="38" t="s">
        <v>4230</v>
      </c>
      <c r="E180" s="38">
        <v>0</v>
      </c>
      <c r="F180" s="38">
        <v>445</v>
      </c>
      <c r="G180" s="47">
        <f t="shared" si="60"/>
        <v>4.3727031303423702E-2</v>
      </c>
      <c r="H180" s="44">
        <v>2836</v>
      </c>
      <c r="I180" s="44"/>
      <c r="J180" s="45">
        <f t="shared" ref="J180:J243" si="80">H180-I180</f>
        <v>2836</v>
      </c>
      <c r="K180" s="38"/>
      <c r="L180" s="38"/>
      <c r="M180" s="38"/>
      <c r="N180" s="34">
        <f>VLOOKUP(F180,'GHG Emissions Factors'!$B$2:$C$4000,2,FALSE)</f>
        <v>0</v>
      </c>
      <c r="O180" s="45">
        <f t="shared" si="61"/>
        <v>0</v>
      </c>
      <c r="P180" s="34">
        <f>IF(L180="yes", 0, _xlfn.XLOOKUP(F180, 'GHG Emissions Factors'!$B$2:$B$4000, 'GHG Emissions Factors'!$D$2:$D$4000, 0))</f>
        <v>0</v>
      </c>
      <c r="Q180" s="46"/>
      <c r="R180" s="46"/>
      <c r="S180" s="46">
        <f>ProcurementAllocationData[[#This Row],[Net MWhs Procured]]-(ProcurementAllocationData[[#This Row],[Deep Green]]+ProcurementAllocationData[[#This Row],[LocalSol]]+ProcurementAllocationData[[#This Row],[GreenAccess]])</f>
        <v>2836</v>
      </c>
      <c r="T180" s="46"/>
      <c r="U180" s="46"/>
      <c r="V180" s="46"/>
      <c r="W180" s="46"/>
      <c r="X180" s="46"/>
      <c r="Y180" s="112">
        <f t="shared" si="62"/>
        <v>124</v>
      </c>
      <c r="Z180" s="150">
        <f t="shared" si="63"/>
        <v>0</v>
      </c>
      <c r="AA180" s="150">
        <f t="shared" si="64"/>
        <v>124</v>
      </c>
      <c r="AB180" s="113">
        <f t="shared" si="65"/>
        <v>0</v>
      </c>
      <c r="AC180" s="36"/>
      <c r="AD180" s="272" t="str">
        <f t="shared" si="66"/>
        <v>Shasta Powerplant - Shasta Unit 4</v>
      </c>
      <c r="AE180" s="273">
        <f t="shared" si="67"/>
        <v>0</v>
      </c>
      <c r="AF180" s="273">
        <f t="shared" si="68"/>
        <v>0</v>
      </c>
      <c r="AG180" s="273">
        <f t="shared" si="69"/>
        <v>0</v>
      </c>
      <c r="AH180" s="273">
        <f t="shared" si="70"/>
        <v>0</v>
      </c>
      <c r="AI180" s="273">
        <f t="shared" si="71"/>
        <v>0</v>
      </c>
      <c r="AJ180" s="273">
        <f t="shared" si="72"/>
        <v>0</v>
      </c>
      <c r="AK180" s="273">
        <f t="shared" si="73"/>
        <v>0</v>
      </c>
      <c r="AL180" s="274">
        <f t="shared" si="74"/>
        <v>0</v>
      </c>
      <c r="AN180" s="75" t="str">
        <f t="shared" si="75"/>
        <v>-</v>
      </c>
      <c r="AO180" s="75" t="str">
        <f t="shared" si="76"/>
        <v>-</v>
      </c>
      <c r="AP180" s="48">
        <f t="shared" si="79"/>
        <v>0</v>
      </c>
      <c r="AQ180" s="48">
        <f t="shared" si="77"/>
        <v>0</v>
      </c>
      <c r="AR180" s="49">
        <f t="shared" si="78"/>
        <v>0</v>
      </c>
    </row>
    <row r="181" spans="1:44" ht="15">
      <c r="A181" s="38" t="s">
        <v>4206</v>
      </c>
      <c r="B181" s="38" t="s">
        <v>31</v>
      </c>
      <c r="C181" s="38" t="s">
        <v>3771</v>
      </c>
      <c r="D181" s="38" t="s">
        <v>4231</v>
      </c>
      <c r="E181" s="38">
        <v>0</v>
      </c>
      <c r="F181" s="38">
        <v>445</v>
      </c>
      <c r="G181" s="47">
        <f t="shared" si="60"/>
        <v>4.3727031303423702E-2</v>
      </c>
      <c r="H181" s="44">
        <v>1854</v>
      </c>
      <c r="I181" s="44"/>
      <c r="J181" s="45">
        <f t="shared" si="80"/>
        <v>1854</v>
      </c>
      <c r="K181" s="38"/>
      <c r="L181" s="38"/>
      <c r="M181" s="38"/>
      <c r="N181" s="34">
        <f>VLOOKUP(F181,'GHG Emissions Factors'!$B$2:$C$4000,2,FALSE)</f>
        <v>0</v>
      </c>
      <c r="O181" s="45">
        <f t="shared" si="61"/>
        <v>0</v>
      </c>
      <c r="P181" s="34">
        <f>IF(L181="yes", 0, _xlfn.XLOOKUP(F181, 'GHG Emissions Factors'!$B$2:$B$4000, 'GHG Emissions Factors'!$D$2:$D$4000, 0))</f>
        <v>0</v>
      </c>
      <c r="Q181" s="46"/>
      <c r="R181" s="46"/>
      <c r="S181" s="46">
        <f>ProcurementAllocationData[[#This Row],[Net MWhs Procured]]-(ProcurementAllocationData[[#This Row],[Deep Green]]+ProcurementAllocationData[[#This Row],[LocalSol]]+ProcurementAllocationData[[#This Row],[GreenAccess]])</f>
        <v>1854</v>
      </c>
      <c r="T181" s="46"/>
      <c r="U181" s="46"/>
      <c r="V181" s="46"/>
      <c r="W181" s="46"/>
      <c r="X181" s="46"/>
      <c r="Y181" s="112">
        <f t="shared" si="62"/>
        <v>81</v>
      </c>
      <c r="Z181" s="150">
        <f t="shared" si="63"/>
        <v>0</v>
      </c>
      <c r="AA181" s="150">
        <f t="shared" si="64"/>
        <v>81</v>
      </c>
      <c r="AB181" s="113">
        <f t="shared" si="65"/>
        <v>0</v>
      </c>
      <c r="AC181" s="36"/>
      <c r="AD181" s="272" t="str">
        <f t="shared" si="66"/>
        <v>Shasta Powerplant - Shasta Unit 5</v>
      </c>
      <c r="AE181" s="273">
        <f t="shared" si="67"/>
        <v>0</v>
      </c>
      <c r="AF181" s="273">
        <f t="shared" si="68"/>
        <v>0</v>
      </c>
      <c r="AG181" s="273">
        <f t="shared" si="69"/>
        <v>0</v>
      </c>
      <c r="AH181" s="273">
        <f t="shared" si="70"/>
        <v>0</v>
      </c>
      <c r="AI181" s="273">
        <f t="shared" si="71"/>
        <v>0</v>
      </c>
      <c r="AJ181" s="273">
        <f t="shared" si="72"/>
        <v>0</v>
      </c>
      <c r="AK181" s="273">
        <f t="shared" si="73"/>
        <v>0</v>
      </c>
      <c r="AL181" s="274">
        <f t="shared" si="74"/>
        <v>0</v>
      </c>
      <c r="AN181" s="75" t="str">
        <f t="shared" si="75"/>
        <v>-</v>
      </c>
      <c r="AO181" s="75" t="str">
        <f t="shared" si="76"/>
        <v>-</v>
      </c>
      <c r="AP181" s="48">
        <f t="shared" si="79"/>
        <v>0</v>
      </c>
      <c r="AQ181" s="48">
        <f t="shared" si="77"/>
        <v>0</v>
      </c>
      <c r="AR181" s="49">
        <f t="shared" si="78"/>
        <v>0</v>
      </c>
    </row>
    <row r="182" spans="1:44" ht="15">
      <c r="A182" s="38" t="s">
        <v>4207</v>
      </c>
      <c r="B182" s="38" t="s">
        <v>31</v>
      </c>
      <c r="C182" s="38" t="s">
        <v>3771</v>
      </c>
      <c r="D182" s="38" t="s">
        <v>4232</v>
      </c>
      <c r="E182" s="38">
        <v>0</v>
      </c>
      <c r="F182" s="38">
        <v>450</v>
      </c>
      <c r="G182" s="47">
        <f t="shared" si="60"/>
        <v>4.3727031303423702E-2</v>
      </c>
      <c r="H182" s="44">
        <v>1866</v>
      </c>
      <c r="I182" s="44"/>
      <c r="J182" s="45">
        <f t="shared" si="80"/>
        <v>1866</v>
      </c>
      <c r="K182" s="38"/>
      <c r="L182" s="38"/>
      <c r="M182" s="38"/>
      <c r="N182" s="34">
        <f>VLOOKUP(F182,'GHG Emissions Factors'!$B$2:$C$4000,2,FALSE)</f>
        <v>0</v>
      </c>
      <c r="O182" s="45">
        <f t="shared" si="61"/>
        <v>0</v>
      </c>
      <c r="P182" s="34">
        <f>IF(L182="yes", 0, _xlfn.XLOOKUP(F182, 'GHG Emissions Factors'!$B$2:$B$4000, 'GHG Emissions Factors'!$D$2:$D$4000, 0))</f>
        <v>0</v>
      </c>
      <c r="Q182" s="46"/>
      <c r="R182" s="46"/>
      <c r="S182" s="46">
        <f>ProcurementAllocationData[[#This Row],[Net MWhs Procured]]-(ProcurementAllocationData[[#This Row],[Deep Green]]+ProcurementAllocationData[[#This Row],[LocalSol]]+ProcurementAllocationData[[#This Row],[GreenAccess]])</f>
        <v>1866</v>
      </c>
      <c r="T182" s="46"/>
      <c r="U182" s="46"/>
      <c r="V182" s="46"/>
      <c r="W182" s="46"/>
      <c r="X182" s="46"/>
      <c r="Y182" s="112">
        <f t="shared" si="62"/>
        <v>82</v>
      </c>
      <c r="Z182" s="150">
        <f t="shared" si="63"/>
        <v>0</v>
      </c>
      <c r="AA182" s="150">
        <f t="shared" si="64"/>
        <v>82</v>
      </c>
      <c r="AB182" s="113">
        <f t="shared" si="65"/>
        <v>0</v>
      </c>
      <c r="AC182" s="36"/>
      <c r="AD182" s="272" t="str">
        <f t="shared" si="66"/>
        <v>Spring Creek Powerplant - Spring Creek Unit 2</v>
      </c>
      <c r="AE182" s="273">
        <f t="shared" si="67"/>
        <v>0</v>
      </c>
      <c r="AF182" s="273">
        <f t="shared" si="68"/>
        <v>0</v>
      </c>
      <c r="AG182" s="273">
        <f t="shared" si="69"/>
        <v>0</v>
      </c>
      <c r="AH182" s="273">
        <f t="shared" si="70"/>
        <v>0</v>
      </c>
      <c r="AI182" s="273">
        <f t="shared" si="71"/>
        <v>0</v>
      </c>
      <c r="AJ182" s="273">
        <f t="shared" si="72"/>
        <v>0</v>
      </c>
      <c r="AK182" s="273">
        <f t="shared" si="73"/>
        <v>0</v>
      </c>
      <c r="AL182" s="274">
        <f t="shared" si="74"/>
        <v>0</v>
      </c>
      <c r="AN182" s="75" t="str">
        <f t="shared" si="75"/>
        <v>-</v>
      </c>
      <c r="AO182" s="75" t="str">
        <f t="shared" si="76"/>
        <v>-</v>
      </c>
      <c r="AP182" s="48">
        <f t="shared" si="79"/>
        <v>0</v>
      </c>
      <c r="AQ182" s="48">
        <f t="shared" si="77"/>
        <v>0</v>
      </c>
      <c r="AR182" s="49">
        <f t="shared" si="78"/>
        <v>0</v>
      </c>
    </row>
    <row r="183" spans="1:44" ht="15">
      <c r="A183" s="38" t="s">
        <v>4208</v>
      </c>
      <c r="B183" s="38" t="s">
        <v>28</v>
      </c>
      <c r="C183" s="38" t="s">
        <v>3771</v>
      </c>
      <c r="D183" s="38" t="s">
        <v>4233</v>
      </c>
      <c r="E183" s="38" t="s">
        <v>4234</v>
      </c>
      <c r="F183" s="38">
        <v>7066</v>
      </c>
      <c r="G183" s="47">
        <f t="shared" si="60"/>
        <v>4.3727031303423702E-2</v>
      </c>
      <c r="H183" s="44">
        <v>44</v>
      </c>
      <c r="I183" s="44"/>
      <c r="J183" s="45">
        <f t="shared" si="80"/>
        <v>44</v>
      </c>
      <c r="K183" s="38"/>
      <c r="L183" s="38"/>
      <c r="M183" s="38"/>
      <c r="N183" s="34">
        <f>VLOOKUP(F183,'GHG Emissions Factors'!$B$2:$C$4000,2,FALSE)</f>
        <v>0</v>
      </c>
      <c r="O183" s="45">
        <f t="shared" si="61"/>
        <v>0</v>
      </c>
      <c r="P183" s="34">
        <f>IF(L183="yes", 0, _xlfn.XLOOKUP(F183, 'GHG Emissions Factors'!$B$2:$B$4000, 'GHG Emissions Factors'!$D$2:$D$4000, 0))</f>
        <v>0</v>
      </c>
      <c r="Q183" s="46"/>
      <c r="R183" s="46"/>
      <c r="S183" s="46">
        <f>ProcurementAllocationData[[#This Row],[Net MWhs Procured]]-(ProcurementAllocationData[[#This Row],[Deep Green]]+ProcurementAllocationData[[#This Row],[LocalSol]]+ProcurementAllocationData[[#This Row],[GreenAccess]])</f>
        <v>44</v>
      </c>
      <c r="T183" s="46"/>
      <c r="U183" s="46"/>
      <c r="V183" s="46"/>
      <c r="W183" s="46"/>
      <c r="X183" s="46"/>
      <c r="Y183" s="112">
        <f t="shared" si="62"/>
        <v>2</v>
      </c>
      <c r="Z183" s="150">
        <f t="shared" si="63"/>
        <v>0</v>
      </c>
      <c r="AA183" s="150">
        <f t="shared" si="64"/>
        <v>2</v>
      </c>
      <c r="AB183" s="113">
        <f t="shared" si="65"/>
        <v>0</v>
      </c>
      <c r="AC183" s="36"/>
      <c r="AD183" s="272" t="str">
        <f t="shared" si="66"/>
        <v>Stampede Powerplant - Stampede (2)</v>
      </c>
      <c r="AE183" s="273">
        <f t="shared" si="67"/>
        <v>0</v>
      </c>
      <c r="AF183" s="273">
        <f t="shared" si="68"/>
        <v>0</v>
      </c>
      <c r="AG183" s="273">
        <f t="shared" si="69"/>
        <v>0</v>
      </c>
      <c r="AH183" s="273">
        <f t="shared" si="70"/>
        <v>0</v>
      </c>
      <c r="AI183" s="273">
        <f t="shared" si="71"/>
        <v>0</v>
      </c>
      <c r="AJ183" s="273">
        <f t="shared" si="72"/>
        <v>0</v>
      </c>
      <c r="AK183" s="273">
        <f t="shared" si="73"/>
        <v>0</v>
      </c>
      <c r="AL183" s="274">
        <f t="shared" si="74"/>
        <v>0</v>
      </c>
      <c r="AN183" s="75" t="str">
        <f t="shared" si="75"/>
        <v>-</v>
      </c>
      <c r="AO183" s="75" t="str">
        <f t="shared" si="76"/>
        <v>-</v>
      </c>
      <c r="AP183" s="48">
        <f t="shared" si="79"/>
        <v>0</v>
      </c>
      <c r="AQ183" s="48">
        <f t="shared" si="77"/>
        <v>0</v>
      </c>
      <c r="AR183" s="49">
        <f t="shared" si="78"/>
        <v>0</v>
      </c>
    </row>
    <row r="184" spans="1:44" ht="15">
      <c r="A184" s="38" t="s">
        <v>4209</v>
      </c>
      <c r="B184" s="38" t="s">
        <v>31</v>
      </c>
      <c r="C184" s="38" t="s">
        <v>3771</v>
      </c>
      <c r="D184" s="38" t="s">
        <v>4235</v>
      </c>
      <c r="E184" s="38">
        <v>0</v>
      </c>
      <c r="F184" s="38">
        <v>451</v>
      </c>
      <c r="G184" s="47">
        <f t="shared" si="60"/>
        <v>4.3727031303423702E-2</v>
      </c>
      <c r="H184" s="44">
        <v>1499</v>
      </c>
      <c r="I184" s="44"/>
      <c r="J184" s="45">
        <f t="shared" si="80"/>
        <v>1499</v>
      </c>
      <c r="K184" s="38"/>
      <c r="L184" s="38"/>
      <c r="M184" s="38"/>
      <c r="N184" s="34">
        <f>VLOOKUP(F184,'GHG Emissions Factors'!$B$2:$C$4000,2,FALSE)</f>
        <v>0</v>
      </c>
      <c r="O184" s="45">
        <f t="shared" si="61"/>
        <v>0</v>
      </c>
      <c r="P184" s="34">
        <f>IF(L184="yes", 0, _xlfn.XLOOKUP(F184, 'GHG Emissions Factors'!$B$2:$B$4000, 'GHG Emissions Factors'!$D$2:$D$4000, 0))</f>
        <v>0</v>
      </c>
      <c r="Q184" s="46"/>
      <c r="R184" s="46"/>
      <c r="S184" s="46">
        <f>ProcurementAllocationData[[#This Row],[Net MWhs Procured]]-(ProcurementAllocationData[[#This Row],[Deep Green]]+ProcurementAllocationData[[#This Row],[LocalSol]]+ProcurementAllocationData[[#This Row],[GreenAccess]])</f>
        <v>1499</v>
      </c>
      <c r="T184" s="46"/>
      <c r="U184" s="46"/>
      <c r="V184" s="46"/>
      <c r="W184" s="46"/>
      <c r="X184" s="46"/>
      <c r="Y184" s="112">
        <f t="shared" si="62"/>
        <v>66</v>
      </c>
      <c r="Z184" s="150">
        <f t="shared" si="63"/>
        <v>0</v>
      </c>
      <c r="AA184" s="150">
        <f t="shared" si="64"/>
        <v>66</v>
      </c>
      <c r="AB184" s="113">
        <f t="shared" si="65"/>
        <v>0</v>
      </c>
      <c r="AC184" s="36"/>
      <c r="AD184" s="272" t="str">
        <f t="shared" si="66"/>
        <v>Trinity Powerplant - Trinity Unit 1</v>
      </c>
      <c r="AE184" s="273">
        <f t="shared" si="67"/>
        <v>0</v>
      </c>
      <c r="AF184" s="273">
        <f t="shared" si="68"/>
        <v>0</v>
      </c>
      <c r="AG184" s="273">
        <f t="shared" si="69"/>
        <v>0</v>
      </c>
      <c r="AH184" s="273">
        <f t="shared" si="70"/>
        <v>0</v>
      </c>
      <c r="AI184" s="273">
        <f t="shared" si="71"/>
        <v>0</v>
      </c>
      <c r="AJ184" s="273">
        <f t="shared" si="72"/>
        <v>0</v>
      </c>
      <c r="AK184" s="273">
        <f t="shared" si="73"/>
        <v>0</v>
      </c>
      <c r="AL184" s="274">
        <f t="shared" si="74"/>
        <v>0</v>
      </c>
      <c r="AN184" s="75" t="str">
        <f t="shared" si="75"/>
        <v>-</v>
      </c>
      <c r="AO184" s="75" t="str">
        <f t="shared" si="76"/>
        <v>-</v>
      </c>
      <c r="AP184" s="48">
        <f t="shared" si="79"/>
        <v>0</v>
      </c>
      <c r="AQ184" s="48">
        <f t="shared" si="77"/>
        <v>0</v>
      </c>
      <c r="AR184" s="49">
        <f t="shared" si="78"/>
        <v>0</v>
      </c>
    </row>
    <row r="185" spans="1:44" ht="15">
      <c r="A185" s="38" t="s">
        <v>4210</v>
      </c>
      <c r="B185" s="38" t="s">
        <v>31</v>
      </c>
      <c r="C185" s="38" t="s">
        <v>3771</v>
      </c>
      <c r="D185" s="38" t="s">
        <v>4236</v>
      </c>
      <c r="E185" s="38">
        <v>0</v>
      </c>
      <c r="F185" s="38">
        <v>451</v>
      </c>
      <c r="G185" s="47">
        <f t="shared" si="60"/>
        <v>4.3727031303423702E-2</v>
      </c>
      <c r="H185" s="44">
        <v>1313</v>
      </c>
      <c r="I185" s="44"/>
      <c r="J185" s="45">
        <f t="shared" si="80"/>
        <v>1313</v>
      </c>
      <c r="K185" s="38"/>
      <c r="L185" s="38"/>
      <c r="M185" s="38"/>
      <c r="N185" s="34">
        <f>VLOOKUP(F185,'GHG Emissions Factors'!$B$2:$C$4000,2,FALSE)</f>
        <v>0</v>
      </c>
      <c r="O185" s="45">
        <f t="shared" si="61"/>
        <v>0</v>
      </c>
      <c r="P185" s="34">
        <f>IF(L185="yes", 0, _xlfn.XLOOKUP(F185, 'GHG Emissions Factors'!$B$2:$B$4000, 'GHG Emissions Factors'!$D$2:$D$4000, 0))</f>
        <v>0</v>
      </c>
      <c r="Q185" s="46"/>
      <c r="R185" s="46"/>
      <c r="S185" s="46">
        <f>ProcurementAllocationData[[#This Row],[Net MWhs Procured]]-(ProcurementAllocationData[[#This Row],[Deep Green]]+ProcurementAllocationData[[#This Row],[LocalSol]]+ProcurementAllocationData[[#This Row],[GreenAccess]])</f>
        <v>1313</v>
      </c>
      <c r="T185" s="46"/>
      <c r="U185" s="46"/>
      <c r="V185" s="46"/>
      <c r="W185" s="46"/>
      <c r="X185" s="46"/>
      <c r="Y185" s="112">
        <f t="shared" si="62"/>
        <v>57</v>
      </c>
      <c r="Z185" s="150">
        <f t="shared" si="63"/>
        <v>0</v>
      </c>
      <c r="AA185" s="150">
        <f t="shared" si="64"/>
        <v>57</v>
      </c>
      <c r="AB185" s="113">
        <f t="shared" si="65"/>
        <v>0</v>
      </c>
      <c r="AC185" s="36"/>
      <c r="AD185" s="272" t="str">
        <f t="shared" si="66"/>
        <v>Trinity Powerplant - Trinity Unit 2</v>
      </c>
      <c r="AE185" s="273">
        <f t="shared" si="67"/>
        <v>0</v>
      </c>
      <c r="AF185" s="273">
        <f t="shared" si="68"/>
        <v>0</v>
      </c>
      <c r="AG185" s="273">
        <f t="shared" si="69"/>
        <v>0</v>
      </c>
      <c r="AH185" s="273">
        <f t="shared" si="70"/>
        <v>0</v>
      </c>
      <c r="AI185" s="273">
        <f t="shared" si="71"/>
        <v>0</v>
      </c>
      <c r="AJ185" s="273">
        <f t="shared" si="72"/>
        <v>0</v>
      </c>
      <c r="AK185" s="273">
        <f t="shared" si="73"/>
        <v>0</v>
      </c>
      <c r="AL185" s="274">
        <f t="shared" si="74"/>
        <v>0</v>
      </c>
      <c r="AN185" s="75" t="str">
        <f t="shared" si="75"/>
        <v>-</v>
      </c>
      <c r="AO185" s="75" t="str">
        <f t="shared" si="76"/>
        <v>-</v>
      </c>
      <c r="AP185" s="48">
        <f t="shared" si="79"/>
        <v>0</v>
      </c>
      <c r="AQ185" s="48">
        <f t="shared" si="77"/>
        <v>0</v>
      </c>
      <c r="AR185" s="49">
        <f t="shared" si="78"/>
        <v>0</v>
      </c>
    </row>
    <row r="186" spans="1:44" ht="15">
      <c r="A186" s="38" t="s">
        <v>474</v>
      </c>
      <c r="B186" s="38" t="s">
        <v>4242</v>
      </c>
      <c r="C186" s="38" t="s">
        <v>3968</v>
      </c>
      <c r="D186" s="38"/>
      <c r="E186" s="38"/>
      <c r="F186" s="38">
        <v>6433</v>
      </c>
      <c r="G186" s="47">
        <f t="shared" si="60"/>
        <v>6.5978850116714893E-2</v>
      </c>
      <c r="H186" s="44">
        <f>5475+18672+29834</f>
        <v>53981</v>
      </c>
      <c r="I186" s="44">
        <v>636</v>
      </c>
      <c r="J186" s="45">
        <f t="shared" si="80"/>
        <v>53345</v>
      </c>
      <c r="K186" s="38"/>
      <c r="L186" s="38"/>
      <c r="M186" s="38"/>
      <c r="N186" s="34">
        <f>VLOOKUP(F186,'GHG Emissions Factors'!$B$2:$C$4000,2,FALSE)</f>
        <v>0</v>
      </c>
      <c r="O186" s="45">
        <f t="shared" si="61"/>
        <v>0</v>
      </c>
      <c r="P186" s="34">
        <f>IF(L186="yes", 0, _xlfn.XLOOKUP(F186, 'GHG Emissions Factors'!$B$2:$B$4000, 'GHG Emissions Factors'!$D$2:$D$4000, 0))</f>
        <v>0</v>
      </c>
      <c r="Q186" s="46"/>
      <c r="R186" s="46"/>
      <c r="S186" s="46">
        <v>0</v>
      </c>
      <c r="T186" s="46"/>
      <c r="U186" s="46"/>
      <c r="V186" s="46"/>
      <c r="W186" s="46"/>
      <c r="X186" s="46"/>
      <c r="Y186" s="112">
        <f t="shared" si="62"/>
        <v>0</v>
      </c>
      <c r="Z186" s="150">
        <f t="shared" si="63"/>
        <v>0</v>
      </c>
      <c r="AA186" s="150">
        <f t="shared" si="64"/>
        <v>0</v>
      </c>
      <c r="AB186" s="113">
        <f t="shared" si="65"/>
        <v>53345</v>
      </c>
      <c r="AC186" s="36"/>
      <c r="AD186" s="272" t="str">
        <f t="shared" si="66"/>
        <v>Boundary Hydro</v>
      </c>
      <c r="AE186" s="273">
        <f t="shared" si="67"/>
        <v>0</v>
      </c>
      <c r="AF186" s="273">
        <f t="shared" si="68"/>
        <v>0</v>
      </c>
      <c r="AG186" s="273">
        <f t="shared" si="69"/>
        <v>0</v>
      </c>
      <c r="AH186" s="273">
        <f t="shared" si="70"/>
        <v>0</v>
      </c>
      <c r="AI186" s="273">
        <f t="shared" si="71"/>
        <v>0</v>
      </c>
      <c r="AJ186" s="273">
        <f t="shared" si="72"/>
        <v>0</v>
      </c>
      <c r="AK186" s="273">
        <f t="shared" si="73"/>
        <v>0</v>
      </c>
      <c r="AL186" s="274">
        <f t="shared" si="74"/>
        <v>0</v>
      </c>
      <c r="AN186" s="75" t="str">
        <f t="shared" si="75"/>
        <v>Boundary Hydro</v>
      </c>
      <c r="AO186" s="75" t="str">
        <f t="shared" si="76"/>
        <v>Large hydroelectric</v>
      </c>
      <c r="AP186" s="48">
        <f t="shared" si="79"/>
        <v>53345</v>
      </c>
      <c r="AQ186" s="48">
        <f t="shared" si="77"/>
        <v>3519.641759476156</v>
      </c>
      <c r="AR186" s="49">
        <f t="shared" si="78"/>
        <v>0</v>
      </c>
    </row>
    <row r="187" spans="1:44" ht="15">
      <c r="A187" s="38" t="s">
        <v>4237</v>
      </c>
      <c r="B187" s="38" t="s">
        <v>4242</v>
      </c>
      <c r="C187" s="38" t="s">
        <v>3968</v>
      </c>
      <c r="D187" s="38"/>
      <c r="E187" s="38"/>
      <c r="F187" s="38">
        <v>3883</v>
      </c>
      <c r="G187" s="47">
        <f t="shared" si="60"/>
        <v>6.5978850116714893E-2</v>
      </c>
      <c r="H187" s="44">
        <v>6910</v>
      </c>
      <c r="I187" s="44"/>
      <c r="J187" s="45">
        <f t="shared" si="80"/>
        <v>6910</v>
      </c>
      <c r="K187" s="38"/>
      <c r="L187" s="38"/>
      <c r="M187" s="38"/>
      <c r="N187" s="34">
        <f>VLOOKUP(F187,'GHG Emissions Factors'!$B$2:$C$4000,2,FALSE)</f>
        <v>0</v>
      </c>
      <c r="O187" s="45">
        <f t="shared" si="61"/>
        <v>0</v>
      </c>
      <c r="P187" s="34">
        <f>IF(L187="yes", 0, _xlfn.XLOOKUP(F187, 'GHG Emissions Factors'!$B$2:$B$4000, 'GHG Emissions Factors'!$D$2:$D$4000, 0))</f>
        <v>0</v>
      </c>
      <c r="Q187" s="46"/>
      <c r="R187" s="46"/>
      <c r="S187" s="46">
        <v>0</v>
      </c>
      <c r="T187" s="46"/>
      <c r="U187" s="46"/>
      <c r="V187" s="46"/>
      <c r="W187" s="46"/>
      <c r="X187" s="46"/>
      <c r="Y187" s="112">
        <f t="shared" si="62"/>
        <v>0</v>
      </c>
      <c r="Z187" s="150">
        <f t="shared" si="63"/>
        <v>0</v>
      </c>
      <c r="AA187" s="150">
        <f t="shared" si="64"/>
        <v>0</v>
      </c>
      <c r="AB187" s="113">
        <f t="shared" si="65"/>
        <v>6910</v>
      </c>
      <c r="AC187" s="36"/>
      <c r="AD187" s="272" t="str">
        <f t="shared" si="66"/>
        <v>Chelan County PUD</v>
      </c>
      <c r="AE187" s="273">
        <f t="shared" si="67"/>
        <v>0</v>
      </c>
      <c r="AF187" s="273">
        <f t="shared" si="68"/>
        <v>0</v>
      </c>
      <c r="AG187" s="273">
        <f t="shared" si="69"/>
        <v>0</v>
      </c>
      <c r="AH187" s="273">
        <f t="shared" si="70"/>
        <v>0</v>
      </c>
      <c r="AI187" s="273">
        <f t="shared" si="71"/>
        <v>0</v>
      </c>
      <c r="AJ187" s="273">
        <f t="shared" si="72"/>
        <v>0</v>
      </c>
      <c r="AK187" s="273">
        <f t="shared" si="73"/>
        <v>0</v>
      </c>
      <c r="AL187" s="274">
        <f t="shared" si="74"/>
        <v>0</v>
      </c>
      <c r="AN187" s="75" t="str">
        <f t="shared" si="75"/>
        <v>Chelan County PUD</v>
      </c>
      <c r="AO187" s="75" t="str">
        <f t="shared" si="76"/>
        <v>Large hydroelectric</v>
      </c>
      <c r="AP187" s="48">
        <f t="shared" si="79"/>
        <v>6910</v>
      </c>
      <c r="AQ187" s="48">
        <f t="shared" si="77"/>
        <v>455.9138543064999</v>
      </c>
      <c r="AR187" s="49">
        <f t="shared" si="78"/>
        <v>0</v>
      </c>
    </row>
    <row r="188" spans="1:44" ht="15">
      <c r="A188" s="38" t="s">
        <v>4238</v>
      </c>
      <c r="B188" s="38" t="s">
        <v>31</v>
      </c>
      <c r="C188" s="38" t="s">
        <v>4243</v>
      </c>
      <c r="D188" s="38"/>
      <c r="E188" s="38"/>
      <c r="F188" s="38" t="s">
        <v>3752</v>
      </c>
      <c r="G188" s="47">
        <f t="shared" si="60"/>
        <v>6.5978850116714893E-2</v>
      </c>
      <c r="H188" s="44">
        <v>9622.7666074000008</v>
      </c>
      <c r="I188" s="44"/>
      <c r="J188" s="45">
        <f t="shared" si="80"/>
        <v>9622.7666074000008</v>
      </c>
      <c r="K188" s="38"/>
      <c r="L188" s="38"/>
      <c r="M188" s="38"/>
      <c r="N188" s="34">
        <f>VLOOKUP(F188,'GHG Emissions Factors'!$B$2:$C$4000,2,FALSE)</f>
        <v>0</v>
      </c>
      <c r="O188" s="45">
        <f t="shared" si="61"/>
        <v>0</v>
      </c>
      <c r="P188" s="34">
        <f>IF(L188="yes", 0, _xlfn.XLOOKUP(F188, 'GHG Emissions Factors'!$B$2:$B$4000, 'GHG Emissions Factors'!$D$2:$D$4000, 0))</f>
        <v>0</v>
      </c>
      <c r="Q188" s="46"/>
      <c r="R188" s="46"/>
      <c r="S188" s="46">
        <v>0</v>
      </c>
      <c r="T188" s="46"/>
      <c r="U188" s="46"/>
      <c r="V188" s="46"/>
      <c r="W188" s="46"/>
      <c r="X188" s="46"/>
      <c r="Y188" s="112">
        <f t="shared" si="62"/>
        <v>0</v>
      </c>
      <c r="Z188" s="150">
        <f t="shared" si="63"/>
        <v>0</v>
      </c>
      <c r="AA188" s="150">
        <f t="shared" si="64"/>
        <v>0</v>
      </c>
      <c r="AB188" s="113">
        <f t="shared" si="65"/>
        <v>9622.7666074000008</v>
      </c>
      <c r="AC188" s="36"/>
      <c r="AD188" s="272" t="str">
        <f t="shared" si="66"/>
        <v>Furry Creek</v>
      </c>
      <c r="AE188" s="273">
        <f t="shared" si="67"/>
        <v>0</v>
      </c>
      <c r="AF188" s="273">
        <f t="shared" si="68"/>
        <v>0</v>
      </c>
      <c r="AG188" s="273">
        <f t="shared" si="69"/>
        <v>0</v>
      </c>
      <c r="AH188" s="273">
        <f t="shared" si="70"/>
        <v>0</v>
      </c>
      <c r="AI188" s="273">
        <f t="shared" si="71"/>
        <v>0</v>
      </c>
      <c r="AJ188" s="273">
        <f t="shared" si="72"/>
        <v>0</v>
      </c>
      <c r="AK188" s="273">
        <f t="shared" si="73"/>
        <v>0</v>
      </c>
      <c r="AL188" s="274">
        <f t="shared" si="74"/>
        <v>0</v>
      </c>
      <c r="AN188" s="75" t="str">
        <f t="shared" si="75"/>
        <v>Furry Creek</v>
      </c>
      <c r="AO188" s="75" t="str">
        <f t="shared" si="76"/>
        <v>Large Hydroelectric</v>
      </c>
      <c r="AP188" s="48">
        <f t="shared" si="79"/>
        <v>9622.7666074000008</v>
      </c>
      <c r="AQ188" s="48">
        <f t="shared" si="77"/>
        <v>634.8990756977737</v>
      </c>
      <c r="AR188" s="49">
        <f t="shared" si="78"/>
        <v>0</v>
      </c>
    </row>
    <row r="189" spans="1:44" ht="15">
      <c r="A189" s="38" t="s">
        <v>4244</v>
      </c>
      <c r="B189" s="38" t="s">
        <v>4242</v>
      </c>
      <c r="C189" s="38" t="s">
        <v>3968</v>
      </c>
      <c r="D189" s="38"/>
      <c r="E189" s="38"/>
      <c r="F189" s="38">
        <v>3887</v>
      </c>
      <c r="G189" s="47">
        <f t="shared" si="60"/>
        <v>6.5978850116714893E-2</v>
      </c>
      <c r="H189" s="44">
        <f>144588.3334+30000</f>
        <v>174588.3334</v>
      </c>
      <c r="I189" s="44"/>
      <c r="J189" s="45">
        <f t="shared" si="80"/>
        <v>174588.3334</v>
      </c>
      <c r="K189" s="38"/>
      <c r="L189" s="38"/>
      <c r="M189" s="38"/>
      <c r="N189" s="34">
        <f>VLOOKUP(F189,'GHG Emissions Factors'!$B$2:$C$4000,2,FALSE)</f>
        <v>0</v>
      </c>
      <c r="O189" s="45">
        <f t="shared" si="61"/>
        <v>0</v>
      </c>
      <c r="P189" s="34">
        <f>IF(L189="yes", 0, _xlfn.XLOOKUP(F189, 'GHG Emissions Factors'!$B$2:$B$4000, 'GHG Emissions Factors'!$D$2:$D$4000, 0))</f>
        <v>0</v>
      </c>
      <c r="Q189" s="46"/>
      <c r="R189" s="46"/>
      <c r="S189" s="46">
        <v>0</v>
      </c>
      <c r="T189" s="46"/>
      <c r="U189" s="46"/>
      <c r="V189" s="46"/>
      <c r="W189" s="46"/>
      <c r="X189" s="46"/>
      <c r="Y189" s="112">
        <f t="shared" si="62"/>
        <v>0</v>
      </c>
      <c r="Z189" s="150">
        <f t="shared" si="63"/>
        <v>0</v>
      </c>
      <c r="AA189" s="150">
        <f t="shared" si="64"/>
        <v>0</v>
      </c>
      <c r="AB189" s="113">
        <f t="shared" si="65"/>
        <v>174588.3334</v>
      </c>
      <c r="AC189" s="36"/>
      <c r="AD189" s="272" t="str">
        <f t="shared" si="66"/>
        <v>GCPD - Priest Rapids &amp; Wanapum</v>
      </c>
      <c r="AE189" s="273">
        <f t="shared" si="67"/>
        <v>0</v>
      </c>
      <c r="AF189" s="273">
        <f t="shared" si="68"/>
        <v>0</v>
      </c>
      <c r="AG189" s="273">
        <f t="shared" si="69"/>
        <v>0</v>
      </c>
      <c r="AH189" s="273">
        <f t="shared" si="70"/>
        <v>0</v>
      </c>
      <c r="AI189" s="273">
        <f t="shared" si="71"/>
        <v>0</v>
      </c>
      <c r="AJ189" s="273">
        <f t="shared" si="72"/>
        <v>0</v>
      </c>
      <c r="AK189" s="273">
        <f t="shared" si="73"/>
        <v>0</v>
      </c>
      <c r="AL189" s="274">
        <f t="shared" si="74"/>
        <v>0</v>
      </c>
      <c r="AN189" s="75" t="str">
        <f t="shared" si="75"/>
        <v>GCPD - Priest Rapids &amp; Wanapum</v>
      </c>
      <c r="AO189" s="75" t="str">
        <f t="shared" si="76"/>
        <v>Large hydroelectric</v>
      </c>
      <c r="AP189" s="48">
        <f t="shared" si="79"/>
        <v>174588.3334</v>
      </c>
      <c r="AQ189" s="48">
        <f t="shared" si="77"/>
        <v>11519.137481525649</v>
      </c>
      <c r="AR189" s="49">
        <f t="shared" si="78"/>
        <v>0</v>
      </c>
    </row>
    <row r="190" spans="1:44" ht="15">
      <c r="A190" s="38" t="s">
        <v>4239</v>
      </c>
      <c r="B190" s="38" t="s">
        <v>31</v>
      </c>
      <c r="C190" s="38" t="s">
        <v>4243</v>
      </c>
      <c r="D190" s="38"/>
      <c r="E190" s="38"/>
      <c r="F190" s="38" t="s">
        <v>3762</v>
      </c>
      <c r="G190" s="47">
        <f t="shared" si="60"/>
        <v>6.5978850116714893E-2</v>
      </c>
      <c r="H190" s="44">
        <v>480.39970000000005</v>
      </c>
      <c r="I190" s="44"/>
      <c r="J190" s="45">
        <f t="shared" si="80"/>
        <v>480.39970000000005</v>
      </c>
      <c r="K190" s="38"/>
      <c r="L190" s="38"/>
      <c r="M190" s="38"/>
      <c r="N190" s="34">
        <f>VLOOKUP(F190,'GHG Emissions Factors'!$B$2:$C$4000,2,FALSE)</f>
        <v>0</v>
      </c>
      <c r="O190" s="45">
        <f t="shared" si="61"/>
        <v>0</v>
      </c>
      <c r="P190" s="34">
        <f>IF(L190="yes", 0, _xlfn.XLOOKUP(F190, 'GHG Emissions Factors'!$B$2:$B$4000, 'GHG Emissions Factors'!$D$2:$D$4000, 0))</f>
        <v>0</v>
      </c>
      <c r="Q190" s="46"/>
      <c r="R190" s="46"/>
      <c r="S190" s="46">
        <f>ProcurementAllocationData[[#This Row],[Net MWhs Procured]]-(ProcurementAllocationData[[#This Row],[Deep Green]]+ProcurementAllocationData[[#This Row],[LocalSol]]+ProcurementAllocationData[[#This Row],[GreenAccess]])</f>
        <v>480.39970000000005</v>
      </c>
      <c r="T190" s="46"/>
      <c r="U190" s="46"/>
      <c r="V190" s="46"/>
      <c r="W190" s="46"/>
      <c r="X190" s="46"/>
      <c r="Y190" s="112">
        <f t="shared" si="62"/>
        <v>32</v>
      </c>
      <c r="Z190" s="150">
        <f t="shared" si="63"/>
        <v>0</v>
      </c>
      <c r="AA190" s="150">
        <f t="shared" si="64"/>
        <v>32</v>
      </c>
      <c r="AB190" s="113">
        <f t="shared" si="65"/>
        <v>0</v>
      </c>
      <c r="AC190" s="36"/>
      <c r="AD190" s="272" t="str">
        <f t="shared" si="66"/>
        <v>McNair Creek Hydro</v>
      </c>
      <c r="AE190" s="273">
        <f t="shared" si="67"/>
        <v>0</v>
      </c>
      <c r="AF190" s="273">
        <f t="shared" si="68"/>
        <v>0</v>
      </c>
      <c r="AG190" s="273">
        <f t="shared" si="69"/>
        <v>0</v>
      </c>
      <c r="AH190" s="273">
        <f t="shared" si="70"/>
        <v>0</v>
      </c>
      <c r="AI190" s="273">
        <f t="shared" si="71"/>
        <v>0</v>
      </c>
      <c r="AJ190" s="273">
        <f t="shared" si="72"/>
        <v>0</v>
      </c>
      <c r="AK190" s="273">
        <f t="shared" si="73"/>
        <v>0</v>
      </c>
      <c r="AL190" s="274">
        <f t="shared" si="74"/>
        <v>0</v>
      </c>
      <c r="AN190" s="75" t="str">
        <f t="shared" si="75"/>
        <v>-</v>
      </c>
      <c r="AO190" s="75" t="str">
        <f t="shared" si="76"/>
        <v>-</v>
      </c>
      <c r="AP190" s="48">
        <f t="shared" si="79"/>
        <v>0</v>
      </c>
      <c r="AQ190" s="48">
        <f t="shared" si="77"/>
        <v>0</v>
      </c>
      <c r="AR190" s="49">
        <f t="shared" si="78"/>
        <v>0</v>
      </c>
    </row>
    <row r="191" spans="1:44" ht="15">
      <c r="A191" s="38" t="s">
        <v>4240</v>
      </c>
      <c r="B191" s="38" t="s">
        <v>4242</v>
      </c>
      <c r="C191" s="38" t="s">
        <v>4243</v>
      </c>
      <c r="D191" s="38"/>
      <c r="E191" s="38"/>
      <c r="F191" s="38" t="s">
        <v>3433</v>
      </c>
      <c r="G191" s="47">
        <f t="shared" si="60"/>
        <v>6.5978850116714893E-2</v>
      </c>
      <c r="H191" s="44">
        <v>90701.771700000012</v>
      </c>
      <c r="I191" s="44"/>
      <c r="J191" s="45">
        <f t="shared" si="80"/>
        <v>90701.771700000012</v>
      </c>
      <c r="K191" s="38"/>
      <c r="L191" s="38"/>
      <c r="M191" s="38"/>
      <c r="N191" s="34">
        <f>VLOOKUP(F191,'GHG Emissions Factors'!$B$2:$C$4000,2,FALSE)</f>
        <v>0</v>
      </c>
      <c r="O191" s="45">
        <f t="shared" si="61"/>
        <v>0</v>
      </c>
      <c r="P191" s="34">
        <f>IF(L191="yes", 0, _xlfn.XLOOKUP(F191, 'GHG Emissions Factors'!$B$2:$B$4000, 'GHG Emissions Factors'!$D$2:$D$4000, 0))</f>
        <v>0</v>
      </c>
      <c r="Q191" s="46"/>
      <c r="R191" s="46"/>
      <c r="S191" s="46">
        <v>0</v>
      </c>
      <c r="T191" s="46"/>
      <c r="U191" s="46"/>
      <c r="V191" s="46"/>
      <c r="W191" s="46"/>
      <c r="X191" s="46"/>
      <c r="Y191" s="112">
        <f t="shared" si="62"/>
        <v>0</v>
      </c>
      <c r="Z191" s="150">
        <f t="shared" si="63"/>
        <v>0</v>
      </c>
      <c r="AA191" s="150">
        <f t="shared" si="64"/>
        <v>0</v>
      </c>
      <c r="AB191" s="113">
        <f t="shared" si="65"/>
        <v>90701.771700000012</v>
      </c>
      <c r="AC191" s="36"/>
      <c r="AD191" s="272" t="str">
        <f t="shared" si="66"/>
        <v>Powell River</v>
      </c>
      <c r="AE191" s="273">
        <f t="shared" si="67"/>
        <v>0</v>
      </c>
      <c r="AF191" s="273">
        <f t="shared" si="68"/>
        <v>0</v>
      </c>
      <c r="AG191" s="273">
        <f t="shared" si="69"/>
        <v>0</v>
      </c>
      <c r="AH191" s="273">
        <f t="shared" si="70"/>
        <v>0</v>
      </c>
      <c r="AI191" s="273">
        <f t="shared" si="71"/>
        <v>0</v>
      </c>
      <c r="AJ191" s="273">
        <f t="shared" si="72"/>
        <v>0</v>
      </c>
      <c r="AK191" s="273">
        <f t="shared" si="73"/>
        <v>0</v>
      </c>
      <c r="AL191" s="274">
        <f t="shared" si="74"/>
        <v>0</v>
      </c>
      <c r="AN191" s="75" t="str">
        <f t="shared" si="75"/>
        <v>Powell River</v>
      </c>
      <c r="AO191" s="75" t="str">
        <f t="shared" si="76"/>
        <v>Large hydroelectric</v>
      </c>
      <c r="AP191" s="48">
        <f t="shared" si="79"/>
        <v>90701.771700000012</v>
      </c>
      <c r="AQ191" s="48">
        <f t="shared" si="77"/>
        <v>5984.3986003147938</v>
      </c>
      <c r="AR191" s="49">
        <f t="shared" si="78"/>
        <v>0</v>
      </c>
    </row>
    <row r="192" spans="1:44" ht="15">
      <c r="A192" s="38" t="s">
        <v>4241</v>
      </c>
      <c r="B192" s="38" t="s">
        <v>4242</v>
      </c>
      <c r="C192" s="38" t="s">
        <v>3843</v>
      </c>
      <c r="D192" s="38"/>
      <c r="E192" s="38"/>
      <c r="F192" s="38">
        <v>54249</v>
      </c>
      <c r="G192" s="47">
        <f t="shared" si="60"/>
        <v>6.5978850116714893E-2</v>
      </c>
      <c r="H192" s="44">
        <v>9295.2133900000008</v>
      </c>
      <c r="I192" s="44"/>
      <c r="J192" s="45">
        <f t="shared" si="80"/>
        <v>9295.2133900000008</v>
      </c>
      <c r="K192" s="38"/>
      <c r="L192" s="38"/>
      <c r="M192" s="38"/>
      <c r="N192" s="34">
        <f>VLOOKUP(F192,'GHG Emissions Factors'!$B$2:$C$4000,2,FALSE)</f>
        <v>0</v>
      </c>
      <c r="O192" s="45">
        <f t="shared" si="61"/>
        <v>0</v>
      </c>
      <c r="P192" s="34">
        <f>IF(L192="yes", 0, _xlfn.XLOOKUP(F192, 'GHG Emissions Factors'!$B$2:$B$4000, 'GHG Emissions Factors'!$D$2:$D$4000, 0))</f>
        <v>0</v>
      </c>
      <c r="Q192" s="46"/>
      <c r="R192" s="46"/>
      <c r="S192" s="46">
        <f>ProcurementAllocationData[[#This Row],[Net MWhs Procured]]-(ProcurementAllocationData[[#This Row],[Deep Green]]+ProcurementAllocationData[[#This Row],[LocalSol]]+ProcurementAllocationData[[#This Row],[GreenAccess]])</f>
        <v>9295.2133900000008</v>
      </c>
      <c r="T192" s="46"/>
      <c r="U192" s="46"/>
      <c r="V192" s="46"/>
      <c r="W192" s="46"/>
      <c r="X192" s="46"/>
      <c r="Y192" s="112">
        <f t="shared" si="62"/>
        <v>613</v>
      </c>
      <c r="Z192" s="150">
        <f t="shared" si="63"/>
        <v>0</v>
      </c>
      <c r="AA192" s="150">
        <f t="shared" si="64"/>
        <v>613</v>
      </c>
      <c r="AB192" s="113">
        <f t="shared" si="65"/>
        <v>0</v>
      </c>
      <c r="AC192" s="36"/>
      <c r="AD192" s="272" t="str">
        <f t="shared" si="66"/>
        <v>SmithCreek</v>
      </c>
      <c r="AE192" s="273">
        <f t="shared" si="67"/>
        <v>0</v>
      </c>
      <c r="AF192" s="273">
        <f t="shared" si="68"/>
        <v>0</v>
      </c>
      <c r="AG192" s="273">
        <f t="shared" si="69"/>
        <v>0</v>
      </c>
      <c r="AH192" s="273">
        <f t="shared" si="70"/>
        <v>0</v>
      </c>
      <c r="AI192" s="273">
        <f t="shared" si="71"/>
        <v>0</v>
      </c>
      <c r="AJ192" s="273">
        <f t="shared" si="72"/>
        <v>0</v>
      </c>
      <c r="AK192" s="273">
        <f t="shared" si="73"/>
        <v>0</v>
      </c>
      <c r="AL192" s="274">
        <f t="shared" si="74"/>
        <v>0</v>
      </c>
      <c r="AN192" s="75" t="str">
        <f t="shared" si="75"/>
        <v>-</v>
      </c>
      <c r="AO192" s="75" t="str">
        <f t="shared" si="76"/>
        <v>-</v>
      </c>
      <c r="AP192" s="48">
        <f t="shared" si="79"/>
        <v>0</v>
      </c>
      <c r="AQ192" s="48">
        <f t="shared" si="77"/>
        <v>0</v>
      </c>
      <c r="AR192" s="49">
        <f t="shared" si="78"/>
        <v>0</v>
      </c>
    </row>
    <row r="193" spans="1:44" ht="15">
      <c r="A193" s="38" t="s">
        <v>4247</v>
      </c>
      <c r="B193" s="38" t="s">
        <v>31</v>
      </c>
      <c r="C193" s="38" t="s">
        <v>3771</v>
      </c>
      <c r="D193" s="38"/>
      <c r="E193" s="38"/>
      <c r="F193" s="38">
        <v>217</v>
      </c>
      <c r="G193" s="47">
        <f t="shared" si="60"/>
        <v>4.3727031303423702E-2</v>
      </c>
      <c r="H193" s="44">
        <f>7456.696+4671.843+161.773</f>
        <v>12290.312</v>
      </c>
      <c r="I193" s="44"/>
      <c r="J193" s="45">
        <f t="shared" si="80"/>
        <v>12290.312</v>
      </c>
      <c r="K193" s="38"/>
      <c r="L193" s="38"/>
      <c r="M193" s="38"/>
      <c r="N193" s="34">
        <f>VLOOKUP(F193,'GHG Emissions Factors'!$B$2:$C$4000,2,FALSE)</f>
        <v>0</v>
      </c>
      <c r="O193" s="45">
        <f t="shared" si="61"/>
        <v>0</v>
      </c>
      <c r="P193" s="34">
        <f>IF(L193="yes", 0, _xlfn.XLOOKUP(F193, 'GHG Emissions Factors'!$B$2:$B$4000, 'GHG Emissions Factors'!$D$2:$D$4000, 0))</f>
        <v>0</v>
      </c>
      <c r="Q193" s="46"/>
      <c r="R193" s="46"/>
      <c r="S193" s="46">
        <f>ProcurementAllocationData[[#This Row],[Net MWhs Procured]]-(ProcurementAllocationData[[#This Row],[Deep Green]]+ProcurementAllocationData[[#This Row],[LocalSol]]+ProcurementAllocationData[[#This Row],[GreenAccess]])</f>
        <v>12290.312</v>
      </c>
      <c r="T193" s="46"/>
      <c r="U193" s="46"/>
      <c r="V193" s="46"/>
      <c r="W193" s="46"/>
      <c r="X193" s="46"/>
      <c r="Y193" s="112">
        <f t="shared" si="62"/>
        <v>537</v>
      </c>
      <c r="Z193" s="150">
        <f t="shared" si="63"/>
        <v>0</v>
      </c>
      <c r="AA193" s="150">
        <f t="shared" si="64"/>
        <v>537</v>
      </c>
      <c r="AB193" s="113">
        <f t="shared" si="65"/>
        <v>0</v>
      </c>
      <c r="AC193" s="36"/>
      <c r="AD193" s="272" t="str">
        <f t="shared" si="66"/>
        <v>Balch PH #1</v>
      </c>
      <c r="AE193" s="273">
        <f t="shared" si="67"/>
        <v>0</v>
      </c>
      <c r="AF193" s="273">
        <f t="shared" si="68"/>
        <v>0</v>
      </c>
      <c r="AG193" s="273">
        <f t="shared" si="69"/>
        <v>0</v>
      </c>
      <c r="AH193" s="273">
        <f t="shared" si="70"/>
        <v>0</v>
      </c>
      <c r="AI193" s="273">
        <f t="shared" si="71"/>
        <v>0</v>
      </c>
      <c r="AJ193" s="273">
        <f t="shared" si="72"/>
        <v>0</v>
      </c>
      <c r="AK193" s="273">
        <f t="shared" si="73"/>
        <v>0</v>
      </c>
      <c r="AL193" s="274">
        <f t="shared" si="74"/>
        <v>0</v>
      </c>
      <c r="AN193" s="75" t="str">
        <f t="shared" si="75"/>
        <v>-</v>
      </c>
      <c r="AO193" s="75" t="str">
        <f t="shared" si="76"/>
        <v>-</v>
      </c>
      <c r="AP193" s="48">
        <f t="shared" si="79"/>
        <v>0</v>
      </c>
      <c r="AQ193" s="48">
        <f t="shared" si="77"/>
        <v>0</v>
      </c>
      <c r="AR193" s="49">
        <f t="shared" si="78"/>
        <v>0</v>
      </c>
    </row>
    <row r="194" spans="1:44" ht="15">
      <c r="A194" s="38" t="s">
        <v>4248</v>
      </c>
      <c r="B194" s="38" t="s">
        <v>31</v>
      </c>
      <c r="C194" s="38" t="s">
        <v>3771</v>
      </c>
      <c r="D194" s="38"/>
      <c r="E194" s="38"/>
      <c r="F194" s="38">
        <v>218</v>
      </c>
      <c r="G194" s="47">
        <f t="shared" si="60"/>
        <v>4.3727031303423702E-2</v>
      </c>
      <c r="H194" s="44">
        <f>40204.498+15867.676+785.353</f>
        <v>56857.527000000002</v>
      </c>
      <c r="I194" s="44"/>
      <c r="J194" s="45">
        <f t="shared" si="80"/>
        <v>56857.527000000002</v>
      </c>
      <c r="K194" s="38"/>
      <c r="L194" s="38"/>
      <c r="M194" s="38"/>
      <c r="N194" s="34">
        <f>VLOOKUP(F194,'GHG Emissions Factors'!$B$2:$C$4000,2,FALSE)</f>
        <v>0</v>
      </c>
      <c r="O194" s="45">
        <f t="shared" si="61"/>
        <v>0</v>
      </c>
      <c r="P194" s="34">
        <f>IF(L194="yes", 0, _xlfn.XLOOKUP(F194, 'GHG Emissions Factors'!$B$2:$B$4000, 'GHG Emissions Factors'!$D$2:$D$4000, 0))</f>
        <v>0</v>
      </c>
      <c r="Q194" s="46"/>
      <c r="R194" s="46"/>
      <c r="S194" s="46">
        <f>ProcurementAllocationData[[#This Row],[Net MWhs Procured]]-(ProcurementAllocationData[[#This Row],[Deep Green]]+ProcurementAllocationData[[#This Row],[LocalSol]]+ProcurementAllocationData[[#This Row],[GreenAccess]])</f>
        <v>56857.527000000002</v>
      </c>
      <c r="T194" s="46"/>
      <c r="U194" s="46"/>
      <c r="V194" s="46"/>
      <c r="W194" s="46"/>
      <c r="X194" s="46"/>
      <c r="Y194" s="112">
        <f t="shared" si="62"/>
        <v>2486</v>
      </c>
      <c r="Z194" s="150">
        <f t="shared" si="63"/>
        <v>0</v>
      </c>
      <c r="AA194" s="150">
        <f t="shared" si="64"/>
        <v>2486</v>
      </c>
      <c r="AB194" s="113">
        <f t="shared" si="65"/>
        <v>0</v>
      </c>
      <c r="AC194" s="36"/>
      <c r="AD194" s="272" t="str">
        <f t="shared" si="66"/>
        <v>Balch PH #2</v>
      </c>
      <c r="AE194" s="273">
        <f t="shared" si="67"/>
        <v>0</v>
      </c>
      <c r="AF194" s="273">
        <f t="shared" si="68"/>
        <v>0</v>
      </c>
      <c r="AG194" s="273">
        <f t="shared" si="69"/>
        <v>0</v>
      </c>
      <c r="AH194" s="273">
        <f t="shared" si="70"/>
        <v>0</v>
      </c>
      <c r="AI194" s="273">
        <f t="shared" si="71"/>
        <v>0</v>
      </c>
      <c r="AJ194" s="273">
        <f t="shared" si="72"/>
        <v>0</v>
      </c>
      <c r="AK194" s="273">
        <f t="shared" si="73"/>
        <v>0</v>
      </c>
      <c r="AL194" s="274">
        <f t="shared" si="74"/>
        <v>0</v>
      </c>
      <c r="AN194" s="75" t="str">
        <f t="shared" si="75"/>
        <v>-</v>
      </c>
      <c r="AO194" s="75" t="str">
        <f t="shared" si="76"/>
        <v>-</v>
      </c>
      <c r="AP194" s="48">
        <f t="shared" si="79"/>
        <v>0</v>
      </c>
      <c r="AQ194" s="48">
        <f t="shared" si="77"/>
        <v>0</v>
      </c>
      <c r="AR194" s="49">
        <f t="shared" si="78"/>
        <v>0</v>
      </c>
    </row>
    <row r="195" spans="1:44" ht="15">
      <c r="A195" s="38" t="s">
        <v>872</v>
      </c>
      <c r="B195" s="38" t="s">
        <v>31</v>
      </c>
      <c r="C195" s="38" t="s">
        <v>3771</v>
      </c>
      <c r="D195" s="38"/>
      <c r="E195" s="38"/>
      <c r="F195" s="38">
        <v>219</v>
      </c>
      <c r="G195" s="47">
        <f t="shared" si="60"/>
        <v>4.3727031303423702E-2</v>
      </c>
      <c r="H195" s="44">
        <f>34652.528+4632.922</f>
        <v>39285.449999999997</v>
      </c>
      <c r="I195" s="44"/>
      <c r="J195" s="45">
        <f t="shared" si="80"/>
        <v>39285.449999999997</v>
      </c>
      <c r="K195" s="38"/>
      <c r="L195" s="38"/>
      <c r="M195" s="38"/>
      <c r="N195" s="34">
        <f>VLOOKUP(F195,'GHG Emissions Factors'!$B$2:$C$4000,2,FALSE)</f>
        <v>0</v>
      </c>
      <c r="O195" s="45">
        <f t="shared" si="61"/>
        <v>0</v>
      </c>
      <c r="P195" s="34">
        <f>IF(L195="yes", 0, _xlfn.XLOOKUP(F195, 'GHG Emissions Factors'!$B$2:$B$4000, 'GHG Emissions Factors'!$D$2:$D$4000, 0))</f>
        <v>0</v>
      </c>
      <c r="Q195" s="46"/>
      <c r="R195" s="46"/>
      <c r="S195" s="46">
        <f>ProcurementAllocationData[[#This Row],[Net MWhs Procured]]-(ProcurementAllocationData[[#This Row],[Deep Green]]+ProcurementAllocationData[[#This Row],[LocalSol]]+ProcurementAllocationData[[#This Row],[GreenAccess]])</f>
        <v>39285.449999999997</v>
      </c>
      <c r="T195" s="46"/>
      <c r="U195" s="46"/>
      <c r="V195" s="46"/>
      <c r="W195" s="46"/>
      <c r="X195" s="46"/>
      <c r="Y195" s="112">
        <f t="shared" si="62"/>
        <v>1718</v>
      </c>
      <c r="Z195" s="150">
        <f t="shared" si="63"/>
        <v>0</v>
      </c>
      <c r="AA195" s="150">
        <f t="shared" si="64"/>
        <v>1718</v>
      </c>
      <c r="AB195" s="113">
        <f t="shared" si="65"/>
        <v>0</v>
      </c>
      <c r="AC195" s="36"/>
      <c r="AD195" s="272" t="str">
        <f t="shared" si="66"/>
        <v>Belden</v>
      </c>
      <c r="AE195" s="273">
        <f t="shared" si="67"/>
        <v>0</v>
      </c>
      <c r="AF195" s="273">
        <f t="shared" si="68"/>
        <v>0</v>
      </c>
      <c r="AG195" s="273">
        <f t="shared" si="69"/>
        <v>0</v>
      </c>
      <c r="AH195" s="273">
        <f t="shared" si="70"/>
        <v>0</v>
      </c>
      <c r="AI195" s="273">
        <f t="shared" si="71"/>
        <v>0</v>
      </c>
      <c r="AJ195" s="273">
        <f t="shared" si="72"/>
        <v>0</v>
      </c>
      <c r="AK195" s="273">
        <f t="shared" si="73"/>
        <v>0</v>
      </c>
      <c r="AL195" s="274">
        <f t="shared" si="74"/>
        <v>0</v>
      </c>
      <c r="AN195" s="75" t="str">
        <f t="shared" si="75"/>
        <v>-</v>
      </c>
      <c r="AO195" s="75" t="str">
        <f t="shared" si="76"/>
        <v>-</v>
      </c>
      <c r="AP195" s="48">
        <f t="shared" si="79"/>
        <v>0</v>
      </c>
      <c r="AQ195" s="48">
        <f t="shared" si="77"/>
        <v>0</v>
      </c>
      <c r="AR195" s="49">
        <f t="shared" si="78"/>
        <v>0</v>
      </c>
    </row>
    <row r="196" spans="1:44" ht="15">
      <c r="A196" s="38" t="s">
        <v>873</v>
      </c>
      <c r="B196" s="38" t="s">
        <v>31</v>
      </c>
      <c r="C196" s="38" t="s">
        <v>3771</v>
      </c>
      <c r="D196" s="38"/>
      <c r="E196" s="38"/>
      <c r="F196" s="38">
        <v>220</v>
      </c>
      <c r="G196" s="47">
        <f t="shared" si="60"/>
        <v>4.3727031303423702E-2</v>
      </c>
      <c r="H196" s="44">
        <f>22744.576+3426.008+662.119</f>
        <v>26832.703000000001</v>
      </c>
      <c r="I196" s="44"/>
      <c r="J196" s="45">
        <f t="shared" si="80"/>
        <v>26832.703000000001</v>
      </c>
      <c r="K196" s="38"/>
      <c r="L196" s="38"/>
      <c r="M196" s="38"/>
      <c r="N196" s="34">
        <f>VLOOKUP(F196,'GHG Emissions Factors'!$B$2:$C$4000,2,FALSE)</f>
        <v>0</v>
      </c>
      <c r="O196" s="45">
        <f t="shared" si="61"/>
        <v>0</v>
      </c>
      <c r="P196" s="34">
        <f>IF(L196="yes", 0, _xlfn.XLOOKUP(F196, 'GHG Emissions Factors'!$B$2:$B$4000, 'GHG Emissions Factors'!$D$2:$D$4000, 0))</f>
        <v>0</v>
      </c>
      <c r="Q196" s="46"/>
      <c r="R196" s="46"/>
      <c r="S196" s="46">
        <f>ProcurementAllocationData[[#This Row],[Net MWhs Procured]]-(ProcurementAllocationData[[#This Row],[Deep Green]]+ProcurementAllocationData[[#This Row],[LocalSol]]+ProcurementAllocationData[[#This Row],[GreenAccess]])</f>
        <v>26832.703000000001</v>
      </c>
      <c r="T196" s="46"/>
      <c r="U196" s="46"/>
      <c r="V196" s="46"/>
      <c r="W196" s="46"/>
      <c r="X196" s="46"/>
      <c r="Y196" s="112">
        <f t="shared" si="62"/>
        <v>1173</v>
      </c>
      <c r="Z196" s="150">
        <f t="shared" si="63"/>
        <v>0</v>
      </c>
      <c r="AA196" s="150">
        <f t="shared" si="64"/>
        <v>1173</v>
      </c>
      <c r="AB196" s="113">
        <f t="shared" si="65"/>
        <v>0</v>
      </c>
      <c r="AC196" s="36"/>
      <c r="AD196" s="272" t="str">
        <f t="shared" si="66"/>
        <v>Bucks Creek</v>
      </c>
      <c r="AE196" s="273">
        <f t="shared" si="67"/>
        <v>0</v>
      </c>
      <c r="AF196" s="273">
        <f t="shared" si="68"/>
        <v>0</v>
      </c>
      <c r="AG196" s="273">
        <f t="shared" si="69"/>
        <v>0</v>
      </c>
      <c r="AH196" s="273">
        <f t="shared" si="70"/>
        <v>0</v>
      </c>
      <c r="AI196" s="273">
        <f t="shared" si="71"/>
        <v>0</v>
      </c>
      <c r="AJ196" s="273">
        <f t="shared" si="72"/>
        <v>0</v>
      </c>
      <c r="AK196" s="273">
        <f t="shared" si="73"/>
        <v>0</v>
      </c>
      <c r="AL196" s="274">
        <f t="shared" si="74"/>
        <v>0</v>
      </c>
      <c r="AN196" s="75" t="str">
        <f t="shared" si="75"/>
        <v>-</v>
      </c>
      <c r="AO196" s="75" t="str">
        <f t="shared" si="76"/>
        <v>-</v>
      </c>
      <c r="AP196" s="48">
        <f t="shared" si="79"/>
        <v>0</v>
      </c>
      <c r="AQ196" s="48">
        <f t="shared" si="77"/>
        <v>0</v>
      </c>
      <c r="AR196" s="49">
        <f t="shared" si="78"/>
        <v>0</v>
      </c>
    </row>
    <row r="197" spans="1:44" ht="15">
      <c r="A197" s="38" t="s">
        <v>874</v>
      </c>
      <c r="B197" s="38" t="s">
        <v>31</v>
      </c>
      <c r="C197" s="38" t="s">
        <v>3771</v>
      </c>
      <c r="D197" s="38"/>
      <c r="E197" s="38"/>
      <c r="F197" s="38">
        <v>221</v>
      </c>
      <c r="G197" s="47">
        <f t="shared" si="60"/>
        <v>4.3727031303423702E-2</v>
      </c>
      <c r="H197" s="44">
        <f>16333.799+2367.476+1.506</f>
        <v>18702.781000000003</v>
      </c>
      <c r="I197" s="44"/>
      <c r="J197" s="45">
        <f t="shared" si="80"/>
        <v>18702.781000000003</v>
      </c>
      <c r="K197" s="38"/>
      <c r="L197" s="38"/>
      <c r="M197" s="38"/>
      <c r="N197" s="34">
        <f>VLOOKUP(F197,'GHG Emissions Factors'!$B$2:$C$4000,2,FALSE)</f>
        <v>0</v>
      </c>
      <c r="O197" s="45">
        <f t="shared" si="61"/>
        <v>0</v>
      </c>
      <c r="P197" s="34">
        <f>IF(L197="yes", 0, _xlfn.XLOOKUP(F197, 'GHG Emissions Factors'!$B$2:$B$4000, 'GHG Emissions Factors'!$D$2:$D$4000, 0))</f>
        <v>0</v>
      </c>
      <c r="Q197" s="46"/>
      <c r="R197" s="46"/>
      <c r="S197" s="46">
        <f>ProcurementAllocationData[[#This Row],[Net MWhs Procured]]-(ProcurementAllocationData[[#This Row],[Deep Green]]+ProcurementAllocationData[[#This Row],[LocalSol]]+ProcurementAllocationData[[#This Row],[GreenAccess]])</f>
        <v>18702.781000000003</v>
      </c>
      <c r="T197" s="46"/>
      <c r="U197" s="46"/>
      <c r="V197" s="46"/>
      <c r="W197" s="46"/>
      <c r="X197" s="46"/>
      <c r="Y197" s="112">
        <f t="shared" si="62"/>
        <v>818</v>
      </c>
      <c r="Z197" s="150">
        <f t="shared" si="63"/>
        <v>0</v>
      </c>
      <c r="AA197" s="150">
        <f t="shared" si="64"/>
        <v>818</v>
      </c>
      <c r="AB197" s="113">
        <f t="shared" si="65"/>
        <v>0</v>
      </c>
      <c r="AC197" s="36"/>
      <c r="AD197" s="272" t="str">
        <f t="shared" si="66"/>
        <v>Butt Valley</v>
      </c>
      <c r="AE197" s="273">
        <f t="shared" si="67"/>
        <v>0</v>
      </c>
      <c r="AF197" s="273">
        <f t="shared" si="68"/>
        <v>0</v>
      </c>
      <c r="AG197" s="273">
        <f t="shared" si="69"/>
        <v>0</v>
      </c>
      <c r="AH197" s="273">
        <f t="shared" si="70"/>
        <v>0</v>
      </c>
      <c r="AI197" s="273">
        <f t="shared" si="71"/>
        <v>0</v>
      </c>
      <c r="AJ197" s="273">
        <f t="shared" si="72"/>
        <v>0</v>
      </c>
      <c r="AK197" s="273">
        <f t="shared" si="73"/>
        <v>0</v>
      </c>
      <c r="AL197" s="274">
        <f t="shared" si="74"/>
        <v>0</v>
      </c>
      <c r="AN197" s="75" t="str">
        <f t="shared" si="75"/>
        <v>-</v>
      </c>
      <c r="AO197" s="75" t="str">
        <f t="shared" si="76"/>
        <v>-</v>
      </c>
      <c r="AP197" s="48">
        <f t="shared" si="79"/>
        <v>0</v>
      </c>
      <c r="AQ197" s="48">
        <f t="shared" si="77"/>
        <v>0</v>
      </c>
      <c r="AR197" s="49">
        <f t="shared" si="78"/>
        <v>0</v>
      </c>
    </row>
    <row r="198" spans="1:44" ht="15">
      <c r="A198" s="38" t="s">
        <v>875</v>
      </c>
      <c r="B198" s="38" t="s">
        <v>31</v>
      </c>
      <c r="C198" s="38" t="s">
        <v>3771</v>
      </c>
      <c r="D198" s="38"/>
      <c r="E198" s="38"/>
      <c r="F198" s="38">
        <v>222</v>
      </c>
      <c r="G198" s="47">
        <f t="shared" si="60"/>
        <v>4.3727031303423702E-2</v>
      </c>
      <c r="H198" s="44">
        <f>39249.554+6457.284+394.316</f>
        <v>46101.153999999995</v>
      </c>
      <c r="I198" s="44"/>
      <c r="J198" s="45">
        <f t="shared" si="80"/>
        <v>46101.153999999995</v>
      </c>
      <c r="K198" s="38"/>
      <c r="L198" s="38"/>
      <c r="M198" s="38"/>
      <c r="N198" s="34">
        <f>VLOOKUP(F198,'GHG Emissions Factors'!$B$2:$C$4000,2,FALSE)</f>
        <v>0</v>
      </c>
      <c r="O198" s="45">
        <f t="shared" si="61"/>
        <v>0</v>
      </c>
      <c r="P198" s="34">
        <f>IF(L198="yes", 0, _xlfn.XLOOKUP(F198, 'GHG Emissions Factors'!$B$2:$B$4000, 'GHG Emissions Factors'!$D$2:$D$4000, 0))</f>
        <v>0</v>
      </c>
      <c r="Q198" s="46"/>
      <c r="R198" s="46"/>
      <c r="S198" s="46">
        <f>ProcurementAllocationData[[#This Row],[Net MWhs Procured]]-(ProcurementAllocationData[[#This Row],[Deep Green]]+ProcurementAllocationData[[#This Row],[LocalSol]]+ProcurementAllocationData[[#This Row],[GreenAccess]])</f>
        <v>46101.153999999995</v>
      </c>
      <c r="T198" s="46"/>
      <c r="U198" s="46"/>
      <c r="V198" s="46"/>
      <c r="W198" s="46"/>
      <c r="X198" s="46"/>
      <c r="Y198" s="112">
        <f t="shared" si="62"/>
        <v>2016</v>
      </c>
      <c r="Z198" s="150">
        <f t="shared" si="63"/>
        <v>0</v>
      </c>
      <c r="AA198" s="150">
        <f t="shared" si="64"/>
        <v>2016</v>
      </c>
      <c r="AB198" s="113">
        <f t="shared" si="65"/>
        <v>0</v>
      </c>
      <c r="AC198" s="36"/>
      <c r="AD198" s="272" t="str">
        <f t="shared" si="66"/>
        <v>Caribou 1</v>
      </c>
      <c r="AE198" s="273">
        <f t="shared" si="67"/>
        <v>0</v>
      </c>
      <c r="AF198" s="273">
        <f t="shared" si="68"/>
        <v>0</v>
      </c>
      <c r="AG198" s="273">
        <f t="shared" si="69"/>
        <v>0</v>
      </c>
      <c r="AH198" s="273">
        <f t="shared" si="70"/>
        <v>0</v>
      </c>
      <c r="AI198" s="273">
        <f t="shared" si="71"/>
        <v>0</v>
      </c>
      <c r="AJ198" s="273">
        <f t="shared" si="72"/>
        <v>0</v>
      </c>
      <c r="AK198" s="273">
        <f t="shared" si="73"/>
        <v>0</v>
      </c>
      <c r="AL198" s="274">
        <f t="shared" si="74"/>
        <v>0</v>
      </c>
      <c r="AN198" s="75" t="str">
        <f t="shared" si="75"/>
        <v>-</v>
      </c>
      <c r="AO198" s="75" t="str">
        <f t="shared" si="76"/>
        <v>-</v>
      </c>
      <c r="AP198" s="48">
        <f t="shared" si="79"/>
        <v>0</v>
      </c>
      <c r="AQ198" s="48">
        <f t="shared" si="77"/>
        <v>0</v>
      </c>
      <c r="AR198" s="49">
        <f t="shared" si="78"/>
        <v>0</v>
      </c>
    </row>
    <row r="199" spans="1:44" ht="15">
      <c r="A199" s="38" t="s">
        <v>876</v>
      </c>
      <c r="B199" s="38" t="s">
        <v>31</v>
      </c>
      <c r="C199" s="38" t="s">
        <v>3771</v>
      </c>
      <c r="D199" s="38"/>
      <c r="E199" s="38"/>
      <c r="F199" s="38">
        <v>223</v>
      </c>
      <c r="G199" s="47">
        <f t="shared" si="60"/>
        <v>4.3727031303423702E-2</v>
      </c>
      <c r="H199" s="44">
        <f>50094.937+6919.711+1248.338</f>
        <v>58262.986000000004</v>
      </c>
      <c r="I199" s="44"/>
      <c r="J199" s="45">
        <f t="shared" si="80"/>
        <v>58262.986000000004</v>
      </c>
      <c r="K199" s="38"/>
      <c r="L199" s="38"/>
      <c r="M199" s="38"/>
      <c r="N199" s="34">
        <f>VLOOKUP(F199,'GHG Emissions Factors'!$B$2:$C$4000,2,FALSE)</f>
        <v>0</v>
      </c>
      <c r="O199" s="45">
        <f t="shared" si="61"/>
        <v>0</v>
      </c>
      <c r="P199" s="34">
        <f>IF(L199="yes", 0, _xlfn.XLOOKUP(F199, 'GHG Emissions Factors'!$B$2:$B$4000, 'GHG Emissions Factors'!$D$2:$D$4000, 0))</f>
        <v>0</v>
      </c>
      <c r="Q199" s="46"/>
      <c r="R199" s="46"/>
      <c r="S199" s="46">
        <f>ProcurementAllocationData[[#This Row],[Net MWhs Procured]]-(ProcurementAllocationData[[#This Row],[Deep Green]]+ProcurementAllocationData[[#This Row],[LocalSol]]+ProcurementAllocationData[[#This Row],[GreenAccess]])</f>
        <v>58262.986000000004</v>
      </c>
      <c r="T199" s="46"/>
      <c r="U199" s="46"/>
      <c r="V199" s="46"/>
      <c r="W199" s="46"/>
      <c r="X199" s="46"/>
      <c r="Y199" s="112">
        <f t="shared" si="62"/>
        <v>2548</v>
      </c>
      <c r="Z199" s="150">
        <f t="shared" si="63"/>
        <v>0</v>
      </c>
      <c r="AA199" s="150">
        <f t="shared" si="64"/>
        <v>2548</v>
      </c>
      <c r="AB199" s="113">
        <f t="shared" si="65"/>
        <v>0</v>
      </c>
      <c r="AC199" s="36"/>
      <c r="AD199" s="272" t="str">
        <f t="shared" si="66"/>
        <v>Caribou 2</v>
      </c>
      <c r="AE199" s="273">
        <f t="shared" si="67"/>
        <v>0</v>
      </c>
      <c r="AF199" s="273">
        <f t="shared" si="68"/>
        <v>0</v>
      </c>
      <c r="AG199" s="273">
        <f t="shared" si="69"/>
        <v>0</v>
      </c>
      <c r="AH199" s="273">
        <f t="shared" si="70"/>
        <v>0</v>
      </c>
      <c r="AI199" s="273">
        <f t="shared" si="71"/>
        <v>0</v>
      </c>
      <c r="AJ199" s="273">
        <f t="shared" si="72"/>
        <v>0</v>
      </c>
      <c r="AK199" s="273">
        <f t="shared" si="73"/>
        <v>0</v>
      </c>
      <c r="AL199" s="274">
        <f t="shared" si="74"/>
        <v>0</v>
      </c>
      <c r="AN199" s="75" t="str">
        <f t="shared" si="75"/>
        <v>-</v>
      </c>
      <c r="AO199" s="75" t="str">
        <f t="shared" si="76"/>
        <v>-</v>
      </c>
      <c r="AP199" s="48">
        <f t="shared" si="79"/>
        <v>0</v>
      </c>
      <c r="AQ199" s="48">
        <f t="shared" si="77"/>
        <v>0</v>
      </c>
      <c r="AR199" s="49">
        <f t="shared" si="78"/>
        <v>0</v>
      </c>
    </row>
    <row r="200" spans="1:44" ht="15">
      <c r="A200" s="38" t="s">
        <v>881</v>
      </c>
      <c r="B200" s="38" t="s">
        <v>31</v>
      </c>
      <c r="C200" s="38" t="s">
        <v>3771</v>
      </c>
      <c r="D200" s="38"/>
      <c r="E200" s="38"/>
      <c r="F200" s="38">
        <v>231</v>
      </c>
      <c r="G200" s="47">
        <f t="shared" si="60"/>
        <v>4.3727031303423702E-2</v>
      </c>
      <c r="H200" s="44">
        <f>35982.51+6546.613+1249.933</f>
        <v>43779.055999999997</v>
      </c>
      <c r="I200" s="44"/>
      <c r="J200" s="45">
        <f t="shared" si="80"/>
        <v>43779.055999999997</v>
      </c>
      <c r="K200" s="38"/>
      <c r="L200" s="38"/>
      <c r="M200" s="38"/>
      <c r="N200" s="34">
        <f>VLOOKUP(F200,'GHG Emissions Factors'!$B$2:$C$4000,2,FALSE)</f>
        <v>0</v>
      </c>
      <c r="O200" s="45">
        <f t="shared" si="61"/>
        <v>0</v>
      </c>
      <c r="P200" s="34">
        <f>IF(L200="yes", 0, _xlfn.XLOOKUP(F200, 'GHG Emissions Factors'!$B$2:$B$4000, 'GHG Emissions Factors'!$D$2:$D$4000, 0))</f>
        <v>0</v>
      </c>
      <c r="Q200" s="46"/>
      <c r="R200" s="46"/>
      <c r="S200" s="46">
        <f>ProcurementAllocationData[[#This Row],[Net MWhs Procured]]-(ProcurementAllocationData[[#This Row],[Deep Green]]+ProcurementAllocationData[[#This Row],[LocalSol]]+ProcurementAllocationData[[#This Row],[GreenAccess]])</f>
        <v>43779.055999999997</v>
      </c>
      <c r="T200" s="46"/>
      <c r="U200" s="46"/>
      <c r="V200" s="46"/>
      <c r="W200" s="46"/>
      <c r="X200" s="46"/>
      <c r="Y200" s="112">
        <f t="shared" si="62"/>
        <v>1914</v>
      </c>
      <c r="Z200" s="150">
        <f t="shared" si="63"/>
        <v>0</v>
      </c>
      <c r="AA200" s="150">
        <f t="shared" si="64"/>
        <v>1914</v>
      </c>
      <c r="AB200" s="113">
        <f t="shared" si="65"/>
        <v>0</v>
      </c>
      <c r="AC200" s="36"/>
      <c r="AD200" s="272" t="str">
        <f t="shared" si="66"/>
        <v>Cresta</v>
      </c>
      <c r="AE200" s="273">
        <f t="shared" si="67"/>
        <v>0</v>
      </c>
      <c r="AF200" s="273">
        <f t="shared" si="68"/>
        <v>0</v>
      </c>
      <c r="AG200" s="273">
        <f t="shared" si="69"/>
        <v>0</v>
      </c>
      <c r="AH200" s="273">
        <f t="shared" si="70"/>
        <v>0</v>
      </c>
      <c r="AI200" s="273">
        <f t="shared" si="71"/>
        <v>0</v>
      </c>
      <c r="AJ200" s="273">
        <f t="shared" si="72"/>
        <v>0</v>
      </c>
      <c r="AK200" s="273">
        <f t="shared" si="73"/>
        <v>0</v>
      </c>
      <c r="AL200" s="274">
        <f t="shared" si="74"/>
        <v>0</v>
      </c>
      <c r="AN200" s="75" t="str">
        <f t="shared" si="75"/>
        <v>-</v>
      </c>
      <c r="AO200" s="75" t="str">
        <f t="shared" si="76"/>
        <v>-</v>
      </c>
      <c r="AP200" s="48">
        <f t="shared" si="79"/>
        <v>0</v>
      </c>
      <c r="AQ200" s="48">
        <f t="shared" si="77"/>
        <v>0</v>
      </c>
      <c r="AR200" s="49">
        <f t="shared" si="78"/>
        <v>0</v>
      </c>
    </row>
    <row r="201" spans="1:44" ht="15">
      <c r="A201" s="38" t="s">
        <v>4249</v>
      </c>
      <c r="B201" s="38" t="s">
        <v>31</v>
      </c>
      <c r="C201" s="38" t="s">
        <v>3771</v>
      </c>
      <c r="D201" s="38"/>
      <c r="E201" s="38"/>
      <c r="F201" s="38">
        <v>235</v>
      </c>
      <c r="G201" s="47">
        <f t="shared" si="60"/>
        <v>4.3727031303423702E-2</v>
      </c>
      <c r="H201" s="44">
        <f>1217.894+222.807+6.718</f>
        <v>1447.4190000000001</v>
      </c>
      <c r="I201" s="44"/>
      <c r="J201" s="45">
        <f t="shared" si="80"/>
        <v>1447.4190000000001</v>
      </c>
      <c r="K201" s="38"/>
      <c r="L201" s="38"/>
      <c r="M201" s="38"/>
      <c r="N201" s="34">
        <f>VLOOKUP(F201,'GHG Emissions Factors'!$B$2:$C$4000,2,FALSE)</f>
        <v>0</v>
      </c>
      <c r="O201" s="45">
        <f t="shared" si="61"/>
        <v>0</v>
      </c>
      <c r="P201" s="34">
        <f>IF(L201="yes", 0, _xlfn.XLOOKUP(F201, 'GHG Emissions Factors'!$B$2:$B$4000, 'GHG Emissions Factors'!$D$2:$D$4000, 0))</f>
        <v>0</v>
      </c>
      <c r="Q201" s="46"/>
      <c r="R201" s="46"/>
      <c r="S201" s="46">
        <f>ProcurementAllocationData[[#This Row],[Net MWhs Procured]]-(ProcurementAllocationData[[#This Row],[Deep Green]]+ProcurementAllocationData[[#This Row],[LocalSol]]+ProcurementAllocationData[[#This Row],[GreenAccess]])</f>
        <v>1447.4190000000001</v>
      </c>
      <c r="T201" s="46"/>
      <c r="U201" s="46"/>
      <c r="V201" s="46"/>
      <c r="W201" s="46"/>
      <c r="X201" s="46"/>
      <c r="Y201" s="112">
        <f t="shared" si="62"/>
        <v>63</v>
      </c>
      <c r="Z201" s="150">
        <f t="shared" si="63"/>
        <v>0</v>
      </c>
      <c r="AA201" s="150">
        <f t="shared" si="64"/>
        <v>63</v>
      </c>
      <c r="AB201" s="113">
        <f t="shared" si="65"/>
        <v>0</v>
      </c>
      <c r="AC201" s="36"/>
      <c r="AD201" s="272" t="str">
        <f t="shared" si="66"/>
        <v>Drum #1</v>
      </c>
      <c r="AE201" s="273">
        <f t="shared" si="67"/>
        <v>0</v>
      </c>
      <c r="AF201" s="273">
        <f t="shared" si="68"/>
        <v>0</v>
      </c>
      <c r="AG201" s="273">
        <f t="shared" si="69"/>
        <v>0</v>
      </c>
      <c r="AH201" s="273">
        <f t="shared" si="70"/>
        <v>0</v>
      </c>
      <c r="AI201" s="273">
        <f t="shared" si="71"/>
        <v>0</v>
      </c>
      <c r="AJ201" s="273">
        <f t="shared" si="72"/>
        <v>0</v>
      </c>
      <c r="AK201" s="273">
        <f t="shared" si="73"/>
        <v>0</v>
      </c>
      <c r="AL201" s="274">
        <f t="shared" si="74"/>
        <v>0</v>
      </c>
      <c r="AN201" s="75" t="str">
        <f t="shared" si="75"/>
        <v>-</v>
      </c>
      <c r="AO201" s="75" t="str">
        <f t="shared" si="76"/>
        <v>-</v>
      </c>
      <c r="AP201" s="48">
        <f t="shared" si="79"/>
        <v>0</v>
      </c>
      <c r="AQ201" s="48">
        <f t="shared" si="77"/>
        <v>0</v>
      </c>
      <c r="AR201" s="49">
        <f t="shared" si="78"/>
        <v>0</v>
      </c>
    </row>
    <row r="202" spans="1:44" ht="15">
      <c r="A202" s="38" t="s">
        <v>4250</v>
      </c>
      <c r="B202" s="38" t="s">
        <v>31</v>
      </c>
      <c r="C202" s="38" t="s">
        <v>3771</v>
      </c>
      <c r="D202" s="38"/>
      <c r="E202" s="38"/>
      <c r="F202" s="38">
        <v>236</v>
      </c>
      <c r="G202" s="47">
        <f t="shared" si="60"/>
        <v>4.3727031303423702E-2</v>
      </c>
      <c r="H202" s="44">
        <f>13314.757+2422.291+13.914</f>
        <v>15750.962</v>
      </c>
      <c r="I202" s="44"/>
      <c r="J202" s="45">
        <f t="shared" si="80"/>
        <v>15750.962</v>
      </c>
      <c r="K202" s="38"/>
      <c r="L202" s="38"/>
      <c r="M202" s="38"/>
      <c r="N202" s="34">
        <f>VLOOKUP(F202,'GHG Emissions Factors'!$B$2:$C$4000,2,FALSE)</f>
        <v>0</v>
      </c>
      <c r="O202" s="45">
        <f t="shared" si="61"/>
        <v>0</v>
      </c>
      <c r="P202" s="34">
        <f>IF(L202="yes", 0, _xlfn.XLOOKUP(F202, 'GHG Emissions Factors'!$B$2:$B$4000, 'GHG Emissions Factors'!$D$2:$D$4000, 0))</f>
        <v>0</v>
      </c>
      <c r="Q202" s="46"/>
      <c r="R202" s="46"/>
      <c r="S202" s="46">
        <f>ProcurementAllocationData[[#This Row],[Net MWhs Procured]]-(ProcurementAllocationData[[#This Row],[Deep Green]]+ProcurementAllocationData[[#This Row],[LocalSol]]+ProcurementAllocationData[[#This Row],[GreenAccess]])</f>
        <v>15750.962</v>
      </c>
      <c r="T202" s="46"/>
      <c r="U202" s="46"/>
      <c r="V202" s="46"/>
      <c r="W202" s="46"/>
      <c r="X202" s="46"/>
      <c r="Y202" s="112">
        <f t="shared" si="62"/>
        <v>689</v>
      </c>
      <c r="Z202" s="150">
        <f t="shared" si="63"/>
        <v>0</v>
      </c>
      <c r="AA202" s="150">
        <f t="shared" si="64"/>
        <v>689</v>
      </c>
      <c r="AB202" s="113">
        <f t="shared" si="65"/>
        <v>0</v>
      </c>
      <c r="AC202" s="36"/>
      <c r="AD202" s="272" t="str">
        <f t="shared" si="66"/>
        <v>Drum #2</v>
      </c>
      <c r="AE202" s="273">
        <f t="shared" si="67"/>
        <v>0</v>
      </c>
      <c r="AF202" s="273">
        <f t="shared" si="68"/>
        <v>0</v>
      </c>
      <c r="AG202" s="273">
        <f t="shared" si="69"/>
        <v>0</v>
      </c>
      <c r="AH202" s="273">
        <f t="shared" si="70"/>
        <v>0</v>
      </c>
      <c r="AI202" s="273">
        <f t="shared" si="71"/>
        <v>0</v>
      </c>
      <c r="AJ202" s="273">
        <f t="shared" si="72"/>
        <v>0</v>
      </c>
      <c r="AK202" s="273">
        <f t="shared" si="73"/>
        <v>0</v>
      </c>
      <c r="AL202" s="274">
        <f t="shared" si="74"/>
        <v>0</v>
      </c>
      <c r="AN202" s="75" t="str">
        <f t="shared" si="75"/>
        <v>-</v>
      </c>
      <c r="AO202" s="75" t="str">
        <f t="shared" si="76"/>
        <v>-</v>
      </c>
      <c r="AP202" s="48">
        <f t="shared" si="79"/>
        <v>0</v>
      </c>
      <c r="AQ202" s="48">
        <f t="shared" si="77"/>
        <v>0</v>
      </c>
      <c r="AR202" s="49">
        <f t="shared" si="78"/>
        <v>0</v>
      </c>
    </row>
    <row r="203" spans="1:44" ht="15">
      <c r="A203" s="38" t="s">
        <v>888</v>
      </c>
      <c r="B203" s="38" t="s">
        <v>31</v>
      </c>
      <c r="C203" s="38" t="s">
        <v>3771</v>
      </c>
      <c r="D203" s="38"/>
      <c r="E203" s="38"/>
      <c r="F203" s="38">
        <v>239</v>
      </c>
      <c r="G203" s="47">
        <f t="shared" si="60"/>
        <v>4.3727031303423702E-2</v>
      </c>
      <c r="H203" s="44">
        <f>32122.866+4980.765+1482.501</f>
        <v>38586.131999999998</v>
      </c>
      <c r="I203" s="44"/>
      <c r="J203" s="45">
        <f t="shared" si="80"/>
        <v>38586.131999999998</v>
      </c>
      <c r="K203" s="38"/>
      <c r="L203" s="38"/>
      <c r="M203" s="38"/>
      <c r="N203" s="34">
        <f>VLOOKUP(F203,'GHG Emissions Factors'!$B$2:$C$4000,2,FALSE)</f>
        <v>0</v>
      </c>
      <c r="O203" s="45">
        <f t="shared" si="61"/>
        <v>0</v>
      </c>
      <c r="P203" s="34">
        <f>IF(L203="yes", 0, _xlfn.XLOOKUP(F203, 'GHG Emissions Factors'!$B$2:$B$4000, 'GHG Emissions Factors'!$D$2:$D$4000, 0))</f>
        <v>0</v>
      </c>
      <c r="Q203" s="46"/>
      <c r="R203" s="46"/>
      <c r="S203" s="46">
        <f>ProcurementAllocationData[[#This Row],[Net MWhs Procured]]-(ProcurementAllocationData[[#This Row],[Deep Green]]+ProcurementAllocationData[[#This Row],[LocalSol]]+ProcurementAllocationData[[#This Row],[GreenAccess]])</f>
        <v>38586.131999999998</v>
      </c>
      <c r="T203" s="46"/>
      <c r="U203" s="46"/>
      <c r="V203" s="46"/>
      <c r="W203" s="46"/>
      <c r="X203" s="46"/>
      <c r="Y203" s="112">
        <f t="shared" si="62"/>
        <v>1687</v>
      </c>
      <c r="Z203" s="150">
        <f t="shared" si="63"/>
        <v>0</v>
      </c>
      <c r="AA203" s="150">
        <f t="shared" si="64"/>
        <v>1687</v>
      </c>
      <c r="AB203" s="113">
        <f t="shared" si="65"/>
        <v>0</v>
      </c>
      <c r="AC203" s="36"/>
      <c r="AD203" s="272" t="str">
        <f t="shared" si="66"/>
        <v>Electra</v>
      </c>
      <c r="AE203" s="273">
        <f t="shared" si="67"/>
        <v>0</v>
      </c>
      <c r="AF203" s="273">
        <f t="shared" si="68"/>
        <v>0</v>
      </c>
      <c r="AG203" s="273">
        <f t="shared" si="69"/>
        <v>0</v>
      </c>
      <c r="AH203" s="273">
        <f t="shared" si="70"/>
        <v>0</v>
      </c>
      <c r="AI203" s="273">
        <f t="shared" si="71"/>
        <v>0</v>
      </c>
      <c r="AJ203" s="273">
        <f t="shared" si="72"/>
        <v>0</v>
      </c>
      <c r="AK203" s="273">
        <f t="shared" si="73"/>
        <v>0</v>
      </c>
      <c r="AL203" s="274">
        <f t="shared" si="74"/>
        <v>0</v>
      </c>
      <c r="AN203" s="75" t="str">
        <f t="shared" si="75"/>
        <v>-</v>
      </c>
      <c r="AO203" s="75" t="str">
        <f t="shared" si="76"/>
        <v>-</v>
      </c>
      <c r="AP203" s="48">
        <f t="shared" si="79"/>
        <v>0</v>
      </c>
      <c r="AQ203" s="48">
        <f t="shared" si="77"/>
        <v>0</v>
      </c>
      <c r="AR203" s="49">
        <f t="shared" si="78"/>
        <v>0</v>
      </c>
    </row>
    <row r="204" spans="1:44" ht="15">
      <c r="A204" s="38" t="s">
        <v>889</v>
      </c>
      <c r="B204" s="38" t="s">
        <v>31</v>
      </c>
      <c r="C204" s="38" t="s">
        <v>3771</v>
      </c>
      <c r="D204" s="38"/>
      <c r="E204" s="38"/>
      <c r="F204" s="38">
        <v>240</v>
      </c>
      <c r="G204" s="47">
        <f t="shared" si="60"/>
        <v>4.3727031303423702E-2</v>
      </c>
      <c r="H204" s="44">
        <f>21742.893+2520.333+613.577</f>
        <v>24876.803</v>
      </c>
      <c r="I204" s="44"/>
      <c r="J204" s="45">
        <f t="shared" si="80"/>
        <v>24876.803</v>
      </c>
      <c r="K204" s="38"/>
      <c r="L204" s="38"/>
      <c r="M204" s="38"/>
      <c r="N204" s="34">
        <f>VLOOKUP(F204,'GHG Emissions Factors'!$B$2:$C$4000,2,FALSE)</f>
        <v>0</v>
      </c>
      <c r="O204" s="45">
        <f t="shared" si="61"/>
        <v>0</v>
      </c>
      <c r="P204" s="34">
        <f>IF(L204="yes", 0, _xlfn.XLOOKUP(F204, 'GHG Emissions Factors'!$B$2:$B$4000, 'GHG Emissions Factors'!$D$2:$D$4000, 0))</f>
        <v>0</v>
      </c>
      <c r="Q204" s="46"/>
      <c r="R204" s="46"/>
      <c r="S204" s="46">
        <f>ProcurementAllocationData[[#This Row],[Net MWhs Procured]]-(ProcurementAllocationData[[#This Row],[Deep Green]]+ProcurementAllocationData[[#This Row],[LocalSol]]+ProcurementAllocationData[[#This Row],[GreenAccess]])</f>
        <v>24876.803</v>
      </c>
      <c r="T204" s="46"/>
      <c r="U204" s="46"/>
      <c r="V204" s="46"/>
      <c r="W204" s="46"/>
      <c r="X204" s="46"/>
      <c r="Y204" s="112">
        <f t="shared" si="62"/>
        <v>1088</v>
      </c>
      <c r="Z204" s="150">
        <f t="shared" si="63"/>
        <v>0</v>
      </c>
      <c r="AA204" s="150">
        <f t="shared" si="64"/>
        <v>1088</v>
      </c>
      <c r="AB204" s="113">
        <f t="shared" si="65"/>
        <v>0</v>
      </c>
      <c r="AC204" s="36"/>
      <c r="AD204" s="272" t="str">
        <f t="shared" si="66"/>
        <v>Haas</v>
      </c>
      <c r="AE204" s="273">
        <f t="shared" si="67"/>
        <v>0</v>
      </c>
      <c r="AF204" s="273">
        <f t="shared" si="68"/>
        <v>0</v>
      </c>
      <c r="AG204" s="273">
        <f t="shared" si="69"/>
        <v>0</v>
      </c>
      <c r="AH204" s="273">
        <f t="shared" si="70"/>
        <v>0</v>
      </c>
      <c r="AI204" s="273">
        <f t="shared" si="71"/>
        <v>0</v>
      </c>
      <c r="AJ204" s="273">
        <f t="shared" si="72"/>
        <v>0</v>
      </c>
      <c r="AK204" s="273">
        <f t="shared" si="73"/>
        <v>0</v>
      </c>
      <c r="AL204" s="274">
        <f t="shared" si="74"/>
        <v>0</v>
      </c>
      <c r="AN204" s="75" t="str">
        <f t="shared" si="75"/>
        <v>-</v>
      </c>
      <c r="AO204" s="75" t="str">
        <f t="shared" si="76"/>
        <v>-</v>
      </c>
      <c r="AP204" s="48">
        <f t="shared" si="79"/>
        <v>0</v>
      </c>
      <c r="AQ204" s="48">
        <f t="shared" si="77"/>
        <v>0</v>
      </c>
      <c r="AR204" s="49">
        <f t="shared" si="78"/>
        <v>0</v>
      </c>
    </row>
    <row r="205" spans="1:44" ht="15">
      <c r="A205" s="38" t="s">
        <v>893</v>
      </c>
      <c r="B205" s="38" t="s">
        <v>31</v>
      </c>
      <c r="C205" s="38" t="s">
        <v>3771</v>
      </c>
      <c r="D205" s="38"/>
      <c r="E205" s="38"/>
      <c r="F205" s="38">
        <v>249</v>
      </c>
      <c r="G205" s="47">
        <f t="shared" si="60"/>
        <v>4.3727031303423702E-2</v>
      </c>
      <c r="H205" s="44">
        <f>71485.448+12072.122+3939.068</f>
        <v>87496.638000000006</v>
      </c>
      <c r="I205" s="44"/>
      <c r="J205" s="45">
        <f t="shared" si="80"/>
        <v>87496.638000000006</v>
      </c>
      <c r="K205" s="38"/>
      <c r="L205" s="38"/>
      <c r="M205" s="38"/>
      <c r="N205" s="34">
        <f>VLOOKUP(F205,'GHG Emissions Factors'!$B$2:$C$4000,2,FALSE)</f>
        <v>0</v>
      </c>
      <c r="O205" s="45">
        <f t="shared" si="61"/>
        <v>0</v>
      </c>
      <c r="P205" s="34">
        <f>IF(L205="yes", 0, _xlfn.XLOOKUP(F205, 'GHG Emissions Factors'!$B$2:$B$4000, 'GHG Emissions Factors'!$D$2:$D$4000, 0))</f>
        <v>0</v>
      </c>
      <c r="Q205" s="46"/>
      <c r="R205" s="46"/>
      <c r="S205" s="46">
        <f>ProcurementAllocationData[[#This Row],[Net MWhs Procured]]-(ProcurementAllocationData[[#This Row],[Deep Green]]+ProcurementAllocationData[[#This Row],[LocalSol]]+ProcurementAllocationData[[#This Row],[GreenAccess]])</f>
        <v>87496.638000000006</v>
      </c>
      <c r="T205" s="46"/>
      <c r="U205" s="46"/>
      <c r="V205" s="46"/>
      <c r="W205" s="46"/>
      <c r="X205" s="46"/>
      <c r="Y205" s="112">
        <f t="shared" si="62"/>
        <v>3826</v>
      </c>
      <c r="Z205" s="150">
        <f t="shared" si="63"/>
        <v>0</v>
      </c>
      <c r="AA205" s="150">
        <f t="shared" si="64"/>
        <v>3826</v>
      </c>
      <c r="AB205" s="113">
        <f t="shared" si="65"/>
        <v>0</v>
      </c>
      <c r="AC205" s="36"/>
      <c r="AD205" s="272" t="str">
        <f t="shared" si="66"/>
        <v>James B Black</v>
      </c>
      <c r="AE205" s="273">
        <f t="shared" si="67"/>
        <v>0</v>
      </c>
      <c r="AF205" s="273">
        <f t="shared" si="68"/>
        <v>0</v>
      </c>
      <c r="AG205" s="273">
        <f t="shared" si="69"/>
        <v>0</v>
      </c>
      <c r="AH205" s="273">
        <f t="shared" si="70"/>
        <v>0</v>
      </c>
      <c r="AI205" s="273">
        <f t="shared" si="71"/>
        <v>0</v>
      </c>
      <c r="AJ205" s="273">
        <f t="shared" si="72"/>
        <v>0</v>
      </c>
      <c r="AK205" s="273">
        <f t="shared" si="73"/>
        <v>0</v>
      </c>
      <c r="AL205" s="274">
        <f t="shared" si="74"/>
        <v>0</v>
      </c>
      <c r="AN205" s="75" t="str">
        <f t="shared" si="75"/>
        <v>-</v>
      </c>
      <c r="AO205" s="75" t="str">
        <f t="shared" si="76"/>
        <v>-</v>
      </c>
      <c r="AP205" s="48">
        <f t="shared" si="79"/>
        <v>0</v>
      </c>
      <c r="AQ205" s="48">
        <f t="shared" si="77"/>
        <v>0</v>
      </c>
      <c r="AR205" s="49">
        <f t="shared" si="78"/>
        <v>0</v>
      </c>
    </row>
    <row r="206" spans="1:44" ht="15">
      <c r="A206" s="38" t="s">
        <v>4251</v>
      </c>
      <c r="B206" s="38" t="s">
        <v>31</v>
      </c>
      <c r="C206" s="38" t="s">
        <v>3771</v>
      </c>
      <c r="D206" s="38"/>
      <c r="E206" s="38"/>
      <c r="F206" s="38">
        <v>682</v>
      </c>
      <c r="G206" s="47">
        <f t="shared" si="60"/>
        <v>4.3727031303423702E-2</v>
      </c>
      <c r="H206" s="44">
        <f>55021.989+8421.232+4342.305</f>
        <v>67785.526000000013</v>
      </c>
      <c r="I206" s="44"/>
      <c r="J206" s="45">
        <f t="shared" si="80"/>
        <v>67785.526000000013</v>
      </c>
      <c r="K206" s="38"/>
      <c r="L206" s="38"/>
      <c r="M206" s="38"/>
      <c r="N206" s="34">
        <f>VLOOKUP(F206,'GHG Emissions Factors'!$B$2:$C$4000,2,FALSE)</f>
        <v>0</v>
      </c>
      <c r="O206" s="45">
        <f t="shared" si="61"/>
        <v>0</v>
      </c>
      <c r="P206" s="34">
        <f>IF(L206="yes", 0, _xlfn.XLOOKUP(F206, 'GHG Emissions Factors'!$B$2:$B$4000, 'GHG Emissions Factors'!$D$2:$D$4000, 0))</f>
        <v>0</v>
      </c>
      <c r="Q206" s="46"/>
      <c r="R206" s="46"/>
      <c r="S206" s="46">
        <f>ProcurementAllocationData[[#This Row],[Net MWhs Procured]]-(ProcurementAllocationData[[#This Row],[Deep Green]]+ProcurementAllocationData[[#This Row],[LocalSol]]+ProcurementAllocationData[[#This Row],[GreenAccess]])</f>
        <v>67785.526000000013</v>
      </c>
      <c r="T206" s="46"/>
      <c r="U206" s="46"/>
      <c r="V206" s="46"/>
      <c r="W206" s="46"/>
      <c r="X206" s="46"/>
      <c r="Y206" s="112">
        <f t="shared" si="62"/>
        <v>2964</v>
      </c>
      <c r="Z206" s="150">
        <f t="shared" si="63"/>
        <v>0</v>
      </c>
      <c r="AA206" s="150">
        <f t="shared" si="64"/>
        <v>2964</v>
      </c>
      <c r="AB206" s="113">
        <f t="shared" si="65"/>
        <v>0</v>
      </c>
      <c r="AC206" s="36"/>
      <c r="AD206" s="272" t="str">
        <f t="shared" si="66"/>
        <v>Kerckhoff #2 PH</v>
      </c>
      <c r="AE206" s="273">
        <f t="shared" si="67"/>
        <v>0</v>
      </c>
      <c r="AF206" s="273">
        <f t="shared" si="68"/>
        <v>0</v>
      </c>
      <c r="AG206" s="273">
        <f t="shared" si="69"/>
        <v>0</v>
      </c>
      <c r="AH206" s="273">
        <f t="shared" si="70"/>
        <v>0</v>
      </c>
      <c r="AI206" s="273">
        <f t="shared" si="71"/>
        <v>0</v>
      </c>
      <c r="AJ206" s="273">
        <f t="shared" si="72"/>
        <v>0</v>
      </c>
      <c r="AK206" s="273">
        <f t="shared" si="73"/>
        <v>0</v>
      </c>
      <c r="AL206" s="274">
        <f t="shared" si="74"/>
        <v>0</v>
      </c>
      <c r="AN206" s="75" t="str">
        <f t="shared" si="75"/>
        <v>-</v>
      </c>
      <c r="AO206" s="75" t="str">
        <f t="shared" si="76"/>
        <v>-</v>
      </c>
      <c r="AP206" s="48">
        <f t="shared" si="79"/>
        <v>0</v>
      </c>
      <c r="AQ206" s="48">
        <f t="shared" si="77"/>
        <v>0</v>
      </c>
      <c r="AR206" s="49">
        <f t="shared" si="78"/>
        <v>0</v>
      </c>
    </row>
    <row r="207" spans="1:44" ht="15">
      <c r="A207" s="38" t="s">
        <v>4252</v>
      </c>
      <c r="B207" s="38" t="s">
        <v>31</v>
      </c>
      <c r="C207" s="38" t="s">
        <v>3771</v>
      </c>
      <c r="D207" s="38"/>
      <c r="E207" s="38"/>
      <c r="F207" s="38">
        <v>254</v>
      </c>
      <c r="G207" s="47">
        <f t="shared" si="60"/>
        <v>4.3727031303423702E-2</v>
      </c>
      <c r="H207" s="44">
        <f>7444.323+707.471</f>
        <v>8151.7939999999999</v>
      </c>
      <c r="I207" s="44"/>
      <c r="J207" s="45">
        <f t="shared" si="80"/>
        <v>8151.7939999999999</v>
      </c>
      <c r="K207" s="38"/>
      <c r="L207" s="38"/>
      <c r="M207" s="38"/>
      <c r="N207" s="34">
        <f>VLOOKUP(F207,'GHG Emissions Factors'!$B$2:$C$4000,2,FALSE)</f>
        <v>0</v>
      </c>
      <c r="O207" s="45">
        <f t="shared" si="61"/>
        <v>0</v>
      </c>
      <c r="P207" s="34">
        <f>IF(L207="yes", 0, _xlfn.XLOOKUP(F207, 'GHG Emissions Factors'!$B$2:$B$4000, 'GHG Emissions Factors'!$D$2:$D$4000, 0))</f>
        <v>0</v>
      </c>
      <c r="Q207" s="46"/>
      <c r="R207" s="46"/>
      <c r="S207" s="46">
        <f>ProcurementAllocationData[[#This Row],[Net MWhs Procured]]-(ProcurementAllocationData[[#This Row],[Deep Green]]+ProcurementAllocationData[[#This Row],[LocalSol]]+ProcurementAllocationData[[#This Row],[GreenAccess]])-7444.32300000079</f>
        <v>707.47099999921011</v>
      </c>
      <c r="T207" s="46"/>
      <c r="U207" s="46"/>
      <c r="V207" s="46"/>
      <c r="W207" s="46"/>
      <c r="X207" s="46"/>
      <c r="Y207" s="112">
        <f t="shared" si="62"/>
        <v>31</v>
      </c>
      <c r="Z207" s="150">
        <f t="shared" si="63"/>
        <v>0</v>
      </c>
      <c r="AA207" s="150">
        <f t="shared" si="64"/>
        <v>31</v>
      </c>
      <c r="AB207" s="113">
        <f t="shared" si="65"/>
        <v>7444.3230000007898</v>
      </c>
      <c r="AC207" s="36"/>
      <c r="AD207" s="272" t="str">
        <f t="shared" si="66"/>
        <v>Kings River</v>
      </c>
      <c r="AE207" s="273">
        <f t="shared" si="67"/>
        <v>0</v>
      </c>
      <c r="AF207" s="273">
        <f t="shared" si="68"/>
        <v>0</v>
      </c>
      <c r="AG207" s="273">
        <f t="shared" si="69"/>
        <v>0</v>
      </c>
      <c r="AH207" s="273">
        <f t="shared" si="70"/>
        <v>0</v>
      </c>
      <c r="AI207" s="273">
        <f t="shared" si="71"/>
        <v>0</v>
      </c>
      <c r="AJ207" s="273">
        <f t="shared" si="72"/>
        <v>0</v>
      </c>
      <c r="AK207" s="273">
        <f t="shared" si="73"/>
        <v>0</v>
      </c>
      <c r="AL207" s="274">
        <f t="shared" si="74"/>
        <v>0</v>
      </c>
      <c r="AN207" s="75" t="str">
        <f t="shared" si="75"/>
        <v>Kings River</v>
      </c>
      <c r="AO207" s="75" t="str">
        <f t="shared" si="76"/>
        <v>Large Hydroelectric</v>
      </c>
      <c r="AP207" s="48">
        <f t="shared" si="79"/>
        <v>7444.3230000007898</v>
      </c>
      <c r="AQ207" s="48">
        <f t="shared" si="77"/>
        <v>325.51814485383159</v>
      </c>
      <c r="AR207" s="49">
        <f t="shared" si="78"/>
        <v>0</v>
      </c>
    </row>
    <row r="208" spans="1:44" ht="15">
      <c r="A208" s="38" t="s">
        <v>900</v>
      </c>
      <c r="B208" s="38" t="s">
        <v>31</v>
      </c>
      <c r="C208" s="38" t="s">
        <v>3771</v>
      </c>
      <c r="D208" s="38"/>
      <c r="E208" s="38"/>
      <c r="F208" s="38">
        <v>265</v>
      </c>
      <c r="G208" s="47">
        <f t="shared" si="60"/>
        <v>4.3727031303423702E-2</v>
      </c>
      <c r="H208" s="44">
        <f>26454.664+4416.588+1493.823</f>
        <v>32365.075000000001</v>
      </c>
      <c r="I208" s="44"/>
      <c r="J208" s="45">
        <f t="shared" si="80"/>
        <v>32365.075000000001</v>
      </c>
      <c r="K208" s="38"/>
      <c r="L208" s="38"/>
      <c r="M208" s="38"/>
      <c r="N208" s="34">
        <f>VLOOKUP(F208,'GHG Emissions Factors'!$B$2:$C$4000,2,FALSE)</f>
        <v>0</v>
      </c>
      <c r="O208" s="45">
        <f t="shared" si="61"/>
        <v>0</v>
      </c>
      <c r="P208" s="34">
        <f>IF(L208="yes", 0, _xlfn.XLOOKUP(F208, 'GHG Emissions Factors'!$B$2:$B$4000, 'GHG Emissions Factors'!$D$2:$D$4000, 0))</f>
        <v>0</v>
      </c>
      <c r="Q208" s="46"/>
      <c r="R208" s="46"/>
      <c r="S208" s="46">
        <f>ProcurementAllocationData[[#This Row],[Net MWhs Procured]]-(ProcurementAllocationData[[#This Row],[Deep Green]]+ProcurementAllocationData[[#This Row],[LocalSol]]+ProcurementAllocationData[[#This Row],[GreenAccess]])</f>
        <v>32365.075000000001</v>
      </c>
      <c r="T208" s="46"/>
      <c r="U208" s="46"/>
      <c r="V208" s="46"/>
      <c r="W208" s="46"/>
      <c r="X208" s="46"/>
      <c r="Y208" s="112">
        <f t="shared" si="62"/>
        <v>1415</v>
      </c>
      <c r="Z208" s="150">
        <f t="shared" si="63"/>
        <v>0</v>
      </c>
      <c r="AA208" s="150">
        <f t="shared" si="64"/>
        <v>1415</v>
      </c>
      <c r="AB208" s="113">
        <f t="shared" si="65"/>
        <v>0</v>
      </c>
      <c r="AC208" s="36"/>
      <c r="AD208" s="272" t="str">
        <f t="shared" si="66"/>
        <v>Pit 1</v>
      </c>
      <c r="AE208" s="273">
        <f t="shared" si="67"/>
        <v>0</v>
      </c>
      <c r="AF208" s="273">
        <f t="shared" si="68"/>
        <v>0</v>
      </c>
      <c r="AG208" s="273">
        <f t="shared" si="69"/>
        <v>0</v>
      </c>
      <c r="AH208" s="273">
        <f t="shared" si="70"/>
        <v>0</v>
      </c>
      <c r="AI208" s="273">
        <f t="shared" si="71"/>
        <v>0</v>
      </c>
      <c r="AJ208" s="273">
        <f t="shared" si="72"/>
        <v>0</v>
      </c>
      <c r="AK208" s="273">
        <f t="shared" si="73"/>
        <v>0</v>
      </c>
      <c r="AL208" s="274">
        <f t="shared" si="74"/>
        <v>0</v>
      </c>
      <c r="AN208" s="75" t="str">
        <f t="shared" si="75"/>
        <v>-</v>
      </c>
      <c r="AO208" s="75" t="str">
        <f t="shared" si="76"/>
        <v>-</v>
      </c>
      <c r="AP208" s="48">
        <f t="shared" si="79"/>
        <v>0</v>
      </c>
      <c r="AQ208" s="48">
        <f t="shared" si="77"/>
        <v>0</v>
      </c>
      <c r="AR208" s="49">
        <f t="shared" si="78"/>
        <v>0</v>
      </c>
    </row>
    <row r="209" spans="1:44" ht="15">
      <c r="A209" s="38" t="s">
        <v>901</v>
      </c>
      <c r="B209" s="38" t="s">
        <v>31</v>
      </c>
      <c r="C209" s="38" t="s">
        <v>3771</v>
      </c>
      <c r="D209" s="38"/>
      <c r="E209" s="38"/>
      <c r="F209" s="38">
        <v>266</v>
      </c>
      <c r="G209" s="47">
        <f t="shared" si="60"/>
        <v>4.3727031303423702E-2</v>
      </c>
      <c r="H209" s="44">
        <f>38568.886+6562.034+2240.096</f>
        <v>47371.015999999996</v>
      </c>
      <c r="I209" s="44">
        <v>14459.973</v>
      </c>
      <c r="J209" s="45">
        <f t="shared" si="80"/>
        <v>32911.042999999998</v>
      </c>
      <c r="K209" s="38"/>
      <c r="L209" s="38"/>
      <c r="M209" s="38"/>
      <c r="N209" s="34">
        <f>VLOOKUP(F209,'GHG Emissions Factors'!$B$2:$C$4000,2,FALSE)</f>
        <v>0</v>
      </c>
      <c r="O209" s="45">
        <f t="shared" si="61"/>
        <v>0</v>
      </c>
      <c r="P209" s="34">
        <f>IF(L209="yes", 0, _xlfn.XLOOKUP(F209, 'GHG Emissions Factors'!$B$2:$B$4000, 'GHG Emissions Factors'!$D$2:$D$4000, 0))</f>
        <v>0</v>
      </c>
      <c r="Q209" s="46"/>
      <c r="R209" s="46"/>
      <c r="S209" s="46">
        <f>ProcurementAllocationData[[#This Row],[Net MWhs Procured]]-(ProcurementAllocationData[[#This Row],[Deep Green]]+ProcurementAllocationData[[#This Row],[LocalSol]]+ProcurementAllocationData[[#This Row],[GreenAccess]])</f>
        <v>32911.042999999998</v>
      </c>
      <c r="T209" s="46"/>
      <c r="U209" s="46"/>
      <c r="V209" s="46"/>
      <c r="W209" s="46"/>
      <c r="X209" s="46"/>
      <c r="Y209" s="112">
        <f t="shared" si="62"/>
        <v>1439</v>
      </c>
      <c r="Z209" s="150">
        <f t="shared" si="63"/>
        <v>0</v>
      </c>
      <c r="AA209" s="150">
        <f t="shared" si="64"/>
        <v>1439</v>
      </c>
      <c r="AB209" s="113">
        <f t="shared" si="65"/>
        <v>0</v>
      </c>
      <c r="AC209" s="36"/>
      <c r="AD209" s="272" t="str">
        <f t="shared" si="66"/>
        <v>Pit 3</v>
      </c>
      <c r="AE209" s="273">
        <f t="shared" si="67"/>
        <v>0</v>
      </c>
      <c r="AF209" s="273">
        <f t="shared" si="68"/>
        <v>0</v>
      </c>
      <c r="AG209" s="273">
        <f t="shared" si="69"/>
        <v>0</v>
      </c>
      <c r="AH209" s="273">
        <f t="shared" si="70"/>
        <v>0</v>
      </c>
      <c r="AI209" s="273">
        <f t="shared" si="71"/>
        <v>0</v>
      </c>
      <c r="AJ209" s="273">
        <f t="shared" si="72"/>
        <v>0</v>
      </c>
      <c r="AK209" s="273">
        <f t="shared" si="73"/>
        <v>0</v>
      </c>
      <c r="AL209" s="274">
        <f t="shared" si="74"/>
        <v>0</v>
      </c>
      <c r="AN209" s="75" t="str">
        <f t="shared" si="75"/>
        <v>-</v>
      </c>
      <c r="AO209" s="75" t="str">
        <f t="shared" si="76"/>
        <v>-</v>
      </c>
      <c r="AP209" s="48">
        <f t="shared" si="79"/>
        <v>0</v>
      </c>
      <c r="AQ209" s="48">
        <f t="shared" si="77"/>
        <v>0</v>
      </c>
      <c r="AR209" s="49">
        <f t="shared" si="78"/>
        <v>0</v>
      </c>
    </row>
    <row r="210" spans="1:44" ht="15">
      <c r="A210" s="38" t="s">
        <v>902</v>
      </c>
      <c r="B210" s="38" t="s">
        <v>31</v>
      </c>
      <c r="C210" s="38" t="s">
        <v>3771</v>
      </c>
      <c r="D210" s="38"/>
      <c r="E210" s="38"/>
      <c r="F210" s="38">
        <v>267</v>
      </c>
      <c r="G210" s="47">
        <f t="shared" si="60"/>
        <v>4.3727031303423702E-2</v>
      </c>
      <c r="H210" s="44">
        <f>41374.178+6522.197+2281.521</f>
        <v>50177.896000000001</v>
      </c>
      <c r="I210" s="44">
        <v>18902.439999999999</v>
      </c>
      <c r="J210" s="45">
        <f t="shared" si="80"/>
        <v>31275.456000000002</v>
      </c>
      <c r="K210" s="38"/>
      <c r="L210" s="38"/>
      <c r="M210" s="38"/>
      <c r="N210" s="34">
        <f>VLOOKUP(F210,'GHG Emissions Factors'!$B$2:$C$4000,2,FALSE)</f>
        <v>0</v>
      </c>
      <c r="O210" s="45">
        <f t="shared" si="61"/>
        <v>0</v>
      </c>
      <c r="P210" s="34">
        <f>IF(L210="yes", 0, _xlfn.XLOOKUP(F210, 'GHG Emissions Factors'!$B$2:$B$4000, 'GHG Emissions Factors'!$D$2:$D$4000, 0))</f>
        <v>0</v>
      </c>
      <c r="Q210" s="46"/>
      <c r="R210" s="46"/>
      <c r="S210" s="46">
        <f>ProcurementAllocationData[[#This Row],[Net MWhs Procured]]-(ProcurementAllocationData[[#This Row],[Deep Green]]+ProcurementAllocationData[[#This Row],[LocalSol]]+ProcurementAllocationData[[#This Row],[GreenAccess]])</f>
        <v>31275.456000000002</v>
      </c>
      <c r="T210" s="46"/>
      <c r="U210" s="46"/>
      <c r="V210" s="46"/>
      <c r="W210" s="46"/>
      <c r="X210" s="46"/>
      <c r="Y210" s="112">
        <f t="shared" si="62"/>
        <v>1368</v>
      </c>
      <c r="Z210" s="150">
        <f t="shared" si="63"/>
        <v>0</v>
      </c>
      <c r="AA210" s="150">
        <f t="shared" si="64"/>
        <v>1368</v>
      </c>
      <c r="AB210" s="113">
        <f t="shared" si="65"/>
        <v>0</v>
      </c>
      <c r="AC210" s="36"/>
      <c r="AD210" s="272" t="str">
        <f t="shared" si="66"/>
        <v>Pit 4</v>
      </c>
      <c r="AE210" s="273">
        <f t="shared" si="67"/>
        <v>0</v>
      </c>
      <c r="AF210" s="273">
        <f t="shared" si="68"/>
        <v>0</v>
      </c>
      <c r="AG210" s="273">
        <f t="shared" si="69"/>
        <v>0</v>
      </c>
      <c r="AH210" s="273">
        <f t="shared" si="70"/>
        <v>0</v>
      </c>
      <c r="AI210" s="273">
        <f t="shared" si="71"/>
        <v>0</v>
      </c>
      <c r="AJ210" s="273">
        <f t="shared" si="72"/>
        <v>0</v>
      </c>
      <c r="AK210" s="273">
        <f t="shared" si="73"/>
        <v>0</v>
      </c>
      <c r="AL210" s="274">
        <f t="shared" si="74"/>
        <v>0</v>
      </c>
      <c r="AN210" s="75" t="str">
        <f t="shared" si="75"/>
        <v>-</v>
      </c>
      <c r="AO210" s="75" t="str">
        <f t="shared" si="76"/>
        <v>-</v>
      </c>
      <c r="AP210" s="48">
        <f t="shared" si="79"/>
        <v>0</v>
      </c>
      <c r="AQ210" s="48">
        <f t="shared" si="77"/>
        <v>0</v>
      </c>
      <c r="AR210" s="49">
        <f t="shared" si="78"/>
        <v>0</v>
      </c>
    </row>
    <row r="211" spans="1:44" ht="15">
      <c r="A211" s="38" t="s">
        <v>903</v>
      </c>
      <c r="B211" s="38" t="s">
        <v>31</v>
      </c>
      <c r="C211" s="38" t="s">
        <v>3771</v>
      </c>
      <c r="D211" s="38"/>
      <c r="E211" s="38"/>
      <c r="F211" s="38">
        <v>268</v>
      </c>
      <c r="G211" s="47">
        <f t="shared" si="60"/>
        <v>4.3727031303423702E-2</v>
      </c>
      <c r="H211" s="44">
        <f>69708.169+10766.144+3365.197</f>
        <v>83839.509999999995</v>
      </c>
      <c r="I211" s="44">
        <v>26410.885999999999</v>
      </c>
      <c r="J211" s="45">
        <f t="shared" si="80"/>
        <v>57428.623999999996</v>
      </c>
      <c r="K211" s="38"/>
      <c r="L211" s="38"/>
      <c r="M211" s="38"/>
      <c r="N211" s="34">
        <f>VLOOKUP(F211,'GHG Emissions Factors'!$B$2:$C$4000,2,FALSE)</f>
        <v>0</v>
      </c>
      <c r="O211" s="45">
        <f t="shared" si="61"/>
        <v>0</v>
      </c>
      <c r="P211" s="34">
        <f>IF(L211="yes", 0, _xlfn.XLOOKUP(F211, 'GHG Emissions Factors'!$B$2:$B$4000, 'GHG Emissions Factors'!$D$2:$D$4000, 0))</f>
        <v>0</v>
      </c>
      <c r="Q211" s="46"/>
      <c r="R211" s="46"/>
      <c r="S211" s="46">
        <f>ProcurementAllocationData[[#This Row],[Net MWhs Procured]]-(ProcurementAllocationData[[#This Row],[Deep Green]]+ProcurementAllocationData[[#This Row],[LocalSol]]+ProcurementAllocationData[[#This Row],[GreenAccess]])</f>
        <v>57428.623999999996</v>
      </c>
      <c r="T211" s="46"/>
      <c r="U211" s="46"/>
      <c r="V211" s="46"/>
      <c r="W211" s="46"/>
      <c r="X211" s="46"/>
      <c r="Y211" s="112">
        <f t="shared" si="62"/>
        <v>2511</v>
      </c>
      <c r="Z211" s="150">
        <f t="shared" si="63"/>
        <v>0</v>
      </c>
      <c r="AA211" s="150">
        <f t="shared" si="64"/>
        <v>2511</v>
      </c>
      <c r="AB211" s="113">
        <f t="shared" si="65"/>
        <v>0</v>
      </c>
      <c r="AC211" s="36"/>
      <c r="AD211" s="272" t="str">
        <f t="shared" si="66"/>
        <v>Pit 5</v>
      </c>
      <c r="AE211" s="273">
        <f t="shared" si="67"/>
        <v>0</v>
      </c>
      <c r="AF211" s="273">
        <f t="shared" si="68"/>
        <v>0</v>
      </c>
      <c r="AG211" s="273">
        <f t="shared" si="69"/>
        <v>0</v>
      </c>
      <c r="AH211" s="273">
        <f t="shared" si="70"/>
        <v>0</v>
      </c>
      <c r="AI211" s="273">
        <f t="shared" si="71"/>
        <v>0</v>
      </c>
      <c r="AJ211" s="273">
        <f t="shared" si="72"/>
        <v>0</v>
      </c>
      <c r="AK211" s="273">
        <f t="shared" si="73"/>
        <v>0</v>
      </c>
      <c r="AL211" s="274">
        <f t="shared" si="74"/>
        <v>0</v>
      </c>
      <c r="AN211" s="75" t="str">
        <f t="shared" si="75"/>
        <v>-</v>
      </c>
      <c r="AO211" s="75" t="str">
        <f t="shared" si="76"/>
        <v>-</v>
      </c>
      <c r="AP211" s="48">
        <f t="shared" si="79"/>
        <v>0</v>
      </c>
      <c r="AQ211" s="48">
        <f t="shared" si="77"/>
        <v>0</v>
      </c>
      <c r="AR211" s="49">
        <f t="shared" si="78"/>
        <v>0</v>
      </c>
    </row>
    <row r="212" spans="1:44" ht="15">
      <c r="A212" s="38" t="s">
        <v>904</v>
      </c>
      <c r="B212" s="38" t="s">
        <v>31</v>
      </c>
      <c r="C212" s="38" t="s">
        <v>3771</v>
      </c>
      <c r="D212" s="38"/>
      <c r="E212" s="38"/>
      <c r="F212" s="38">
        <v>269</v>
      </c>
      <c r="G212" s="47">
        <f t="shared" si="60"/>
        <v>4.3727031303423702E-2</v>
      </c>
      <c r="H212" s="44">
        <f>39897.51+4286.851+407.835</f>
        <v>44592.196000000004</v>
      </c>
      <c r="I212" s="44">
        <v>23675.579999999998</v>
      </c>
      <c r="J212" s="45">
        <f t="shared" si="80"/>
        <v>20916.616000000005</v>
      </c>
      <c r="K212" s="38"/>
      <c r="L212" s="38"/>
      <c r="M212" s="38"/>
      <c r="N212" s="34">
        <f>VLOOKUP(F212,'GHG Emissions Factors'!$B$2:$C$4000,2,FALSE)</f>
        <v>0</v>
      </c>
      <c r="O212" s="45">
        <f t="shared" si="61"/>
        <v>0</v>
      </c>
      <c r="P212" s="34">
        <f>IF(L212="yes", 0, _xlfn.XLOOKUP(F212, 'GHG Emissions Factors'!$B$2:$B$4000, 'GHG Emissions Factors'!$D$2:$D$4000, 0))</f>
        <v>0</v>
      </c>
      <c r="Q212" s="46"/>
      <c r="R212" s="46"/>
      <c r="S212" s="46">
        <f>ProcurementAllocationData[[#This Row],[Net MWhs Procured]]-(ProcurementAllocationData[[#This Row],[Deep Green]]+ProcurementAllocationData[[#This Row],[LocalSol]]+ProcurementAllocationData[[#This Row],[GreenAccess]])</f>
        <v>20916.616000000005</v>
      </c>
      <c r="T212" s="46"/>
      <c r="U212" s="46"/>
      <c r="V212" s="46"/>
      <c r="W212" s="46"/>
      <c r="X212" s="46"/>
      <c r="Y212" s="112">
        <f t="shared" si="62"/>
        <v>915</v>
      </c>
      <c r="Z212" s="150">
        <f t="shared" si="63"/>
        <v>0</v>
      </c>
      <c r="AA212" s="150">
        <f t="shared" si="64"/>
        <v>915</v>
      </c>
      <c r="AB212" s="113">
        <f t="shared" si="65"/>
        <v>0</v>
      </c>
      <c r="AC212" s="36"/>
      <c r="AD212" s="272" t="str">
        <f t="shared" si="66"/>
        <v>Pit 6</v>
      </c>
      <c r="AE212" s="273">
        <f t="shared" si="67"/>
        <v>0</v>
      </c>
      <c r="AF212" s="273">
        <f t="shared" si="68"/>
        <v>0</v>
      </c>
      <c r="AG212" s="273">
        <f t="shared" si="69"/>
        <v>0</v>
      </c>
      <c r="AH212" s="273">
        <f t="shared" si="70"/>
        <v>0</v>
      </c>
      <c r="AI212" s="273">
        <f t="shared" si="71"/>
        <v>0</v>
      </c>
      <c r="AJ212" s="273">
        <f t="shared" si="72"/>
        <v>0</v>
      </c>
      <c r="AK212" s="273">
        <f t="shared" si="73"/>
        <v>0</v>
      </c>
      <c r="AL212" s="274">
        <f t="shared" si="74"/>
        <v>0</v>
      </c>
      <c r="AN212" s="75" t="str">
        <f t="shared" si="75"/>
        <v>-</v>
      </c>
      <c r="AO212" s="75" t="str">
        <f t="shared" si="76"/>
        <v>-</v>
      </c>
      <c r="AP212" s="48">
        <f t="shared" si="79"/>
        <v>0</v>
      </c>
      <c r="AQ212" s="48">
        <f t="shared" si="77"/>
        <v>0</v>
      </c>
      <c r="AR212" s="49">
        <f t="shared" si="78"/>
        <v>0</v>
      </c>
    </row>
    <row r="213" spans="1:44" ht="15">
      <c r="A213" s="38" t="s">
        <v>905</v>
      </c>
      <c r="B213" s="38" t="s">
        <v>31</v>
      </c>
      <c r="C213" s="38" t="s">
        <v>3771</v>
      </c>
      <c r="D213" s="38"/>
      <c r="E213" s="38"/>
      <c r="F213" s="38">
        <v>270</v>
      </c>
      <c r="G213" s="47">
        <f t="shared" si="60"/>
        <v>4.3727031303423702E-2</v>
      </c>
      <c r="H213" s="44">
        <f>126994.014+7329.324+1690.925</f>
        <v>136014.26299999998</v>
      </c>
      <c r="I213" s="44">
        <v>68954.434999999998</v>
      </c>
      <c r="J213" s="45">
        <f t="shared" si="80"/>
        <v>67059.82799999998</v>
      </c>
      <c r="K213" s="38"/>
      <c r="L213" s="38"/>
      <c r="M213" s="38"/>
      <c r="N213" s="34">
        <f>VLOOKUP(F213,'GHG Emissions Factors'!$B$2:$C$4000,2,FALSE)</f>
        <v>0</v>
      </c>
      <c r="O213" s="45">
        <f t="shared" si="61"/>
        <v>0</v>
      </c>
      <c r="P213" s="34">
        <f>IF(L213="yes", 0, _xlfn.XLOOKUP(F213, 'GHG Emissions Factors'!$B$2:$B$4000, 'GHG Emissions Factors'!$D$2:$D$4000, 0))</f>
        <v>0</v>
      </c>
      <c r="Q213" s="46"/>
      <c r="R213" s="46"/>
      <c r="S213" s="46">
        <f>ProcurementAllocationData[[#This Row],[Net MWhs Procured]]-(ProcurementAllocationData[[#This Row],[Deep Green]]+ProcurementAllocationData[[#This Row],[LocalSol]]+ProcurementAllocationData[[#This Row],[GreenAccess]])</f>
        <v>67059.82799999998</v>
      </c>
      <c r="T213" s="46"/>
      <c r="U213" s="46"/>
      <c r="V213" s="46"/>
      <c r="W213" s="46"/>
      <c r="X213" s="46"/>
      <c r="Y213" s="112">
        <f t="shared" si="62"/>
        <v>2932</v>
      </c>
      <c r="Z213" s="150">
        <f t="shared" si="63"/>
        <v>0</v>
      </c>
      <c r="AA213" s="150">
        <f t="shared" si="64"/>
        <v>2932</v>
      </c>
      <c r="AB213" s="113">
        <f t="shared" si="65"/>
        <v>0</v>
      </c>
      <c r="AC213" s="36"/>
      <c r="AD213" s="272" t="str">
        <f t="shared" si="66"/>
        <v>Pit 7</v>
      </c>
      <c r="AE213" s="273">
        <f t="shared" si="67"/>
        <v>0</v>
      </c>
      <c r="AF213" s="273">
        <f t="shared" si="68"/>
        <v>0</v>
      </c>
      <c r="AG213" s="273">
        <f t="shared" si="69"/>
        <v>0</v>
      </c>
      <c r="AH213" s="273">
        <f t="shared" si="70"/>
        <v>0</v>
      </c>
      <c r="AI213" s="273">
        <f t="shared" si="71"/>
        <v>0</v>
      </c>
      <c r="AJ213" s="273">
        <f t="shared" si="72"/>
        <v>0</v>
      </c>
      <c r="AK213" s="273">
        <f t="shared" si="73"/>
        <v>0</v>
      </c>
      <c r="AL213" s="274">
        <f t="shared" si="74"/>
        <v>0</v>
      </c>
      <c r="AN213" s="75" t="str">
        <f t="shared" si="75"/>
        <v>-</v>
      </c>
      <c r="AO213" s="75" t="str">
        <f t="shared" si="76"/>
        <v>-</v>
      </c>
      <c r="AP213" s="48">
        <f t="shared" si="79"/>
        <v>0</v>
      </c>
      <c r="AQ213" s="48">
        <f t="shared" si="77"/>
        <v>0</v>
      </c>
      <c r="AR213" s="49">
        <f t="shared" si="78"/>
        <v>0</v>
      </c>
    </row>
    <row r="214" spans="1:44" ht="15">
      <c r="A214" s="38" t="s">
        <v>906</v>
      </c>
      <c r="B214" s="38" t="s">
        <v>31</v>
      </c>
      <c r="C214" s="38" t="s">
        <v>3771</v>
      </c>
      <c r="D214" s="38"/>
      <c r="E214" s="38"/>
      <c r="F214" s="38">
        <v>272</v>
      </c>
      <c r="G214" s="47">
        <f t="shared" si="60"/>
        <v>4.3727031303423702E-2</v>
      </c>
      <c r="H214" s="44">
        <f>88735.942+7769.186+2214.874</f>
        <v>98720.001999999993</v>
      </c>
      <c r="I214" s="44">
        <v>17297.131999999998</v>
      </c>
      <c r="J214" s="45">
        <f t="shared" si="80"/>
        <v>81422.87</v>
      </c>
      <c r="K214" s="38"/>
      <c r="L214" s="38"/>
      <c r="M214" s="38"/>
      <c r="N214" s="34">
        <f>VLOOKUP(F214,'GHG Emissions Factors'!$B$2:$C$4000,2,FALSE)</f>
        <v>0</v>
      </c>
      <c r="O214" s="45">
        <f t="shared" si="61"/>
        <v>0</v>
      </c>
      <c r="P214" s="34">
        <f>IF(L214="yes", 0, _xlfn.XLOOKUP(F214, 'GHG Emissions Factors'!$B$2:$B$4000, 'GHG Emissions Factors'!$D$2:$D$4000, 0))</f>
        <v>0</v>
      </c>
      <c r="Q214" s="46"/>
      <c r="R214" s="46"/>
      <c r="S214" s="46">
        <f>ProcurementAllocationData[[#This Row],[Net MWhs Procured]]-(ProcurementAllocationData[[#This Row],[Deep Green]]+ProcurementAllocationData[[#This Row],[LocalSol]]+ProcurementAllocationData[[#This Row],[GreenAccess]])</f>
        <v>81422.87</v>
      </c>
      <c r="T214" s="46"/>
      <c r="U214" s="46"/>
      <c r="V214" s="46"/>
      <c r="W214" s="46"/>
      <c r="X214" s="46"/>
      <c r="Y214" s="112">
        <f t="shared" si="62"/>
        <v>3560</v>
      </c>
      <c r="Z214" s="150">
        <f t="shared" si="63"/>
        <v>0</v>
      </c>
      <c r="AA214" s="150">
        <f t="shared" si="64"/>
        <v>3560</v>
      </c>
      <c r="AB214" s="113">
        <f t="shared" si="65"/>
        <v>0</v>
      </c>
      <c r="AC214" s="36"/>
      <c r="AD214" s="272" t="str">
        <f t="shared" si="66"/>
        <v>Poe</v>
      </c>
      <c r="AE214" s="273">
        <f t="shared" si="67"/>
        <v>0</v>
      </c>
      <c r="AF214" s="273">
        <f t="shared" si="68"/>
        <v>0</v>
      </c>
      <c r="AG214" s="273">
        <f t="shared" si="69"/>
        <v>0</v>
      </c>
      <c r="AH214" s="273">
        <f t="shared" si="70"/>
        <v>0</v>
      </c>
      <c r="AI214" s="273">
        <f t="shared" si="71"/>
        <v>0</v>
      </c>
      <c r="AJ214" s="273">
        <f t="shared" si="72"/>
        <v>0</v>
      </c>
      <c r="AK214" s="273">
        <f t="shared" si="73"/>
        <v>0</v>
      </c>
      <c r="AL214" s="274">
        <f t="shared" si="74"/>
        <v>0</v>
      </c>
      <c r="AN214" s="75" t="str">
        <f t="shared" si="75"/>
        <v>-</v>
      </c>
      <c r="AO214" s="75" t="str">
        <f t="shared" si="76"/>
        <v>-</v>
      </c>
      <c r="AP214" s="48">
        <f t="shared" si="79"/>
        <v>0</v>
      </c>
      <c r="AQ214" s="48">
        <f t="shared" si="77"/>
        <v>0</v>
      </c>
      <c r="AR214" s="49">
        <f t="shared" si="78"/>
        <v>0</v>
      </c>
    </row>
    <row r="215" spans="1:44" ht="15">
      <c r="A215" s="38" t="s">
        <v>908</v>
      </c>
      <c r="B215" s="38" t="s">
        <v>31</v>
      </c>
      <c r="C215" s="38" t="s">
        <v>3771</v>
      </c>
      <c r="D215" s="38"/>
      <c r="E215" s="38"/>
      <c r="F215" s="38">
        <v>275</v>
      </c>
      <c r="G215" s="47">
        <f t="shared" si="60"/>
        <v>4.3727031303423702E-2</v>
      </c>
      <c r="H215" s="44">
        <f>106868.029+9998.65+2446.795</f>
        <v>119313.47399999999</v>
      </c>
      <c r="I215" s="44">
        <v>30299.553999999996</v>
      </c>
      <c r="J215" s="45">
        <f t="shared" si="80"/>
        <v>89013.919999999984</v>
      </c>
      <c r="K215" s="38"/>
      <c r="L215" s="38"/>
      <c r="M215" s="38"/>
      <c r="N215" s="34">
        <f>VLOOKUP(F215,'GHG Emissions Factors'!$B$2:$C$4000,2,FALSE)</f>
        <v>0</v>
      </c>
      <c r="O215" s="45">
        <f t="shared" si="61"/>
        <v>0</v>
      </c>
      <c r="P215" s="34">
        <f>IF(L215="yes", 0, _xlfn.XLOOKUP(F215, 'GHG Emissions Factors'!$B$2:$B$4000, 'GHG Emissions Factors'!$D$2:$D$4000, 0))</f>
        <v>0</v>
      </c>
      <c r="Q215" s="46"/>
      <c r="R215" s="46"/>
      <c r="S215" s="46">
        <f>ProcurementAllocationData[[#This Row],[Net MWhs Procured]]-(ProcurementAllocationData[[#This Row],[Deep Green]]+ProcurementAllocationData[[#This Row],[LocalSol]]+ProcurementAllocationData[[#This Row],[GreenAccess]])-31409.5584925186</f>
        <v>57604.361507481386</v>
      </c>
      <c r="T215" s="46"/>
      <c r="U215" s="46"/>
      <c r="V215" s="46"/>
      <c r="W215" s="46"/>
      <c r="X215" s="46"/>
      <c r="Y215" s="112">
        <f t="shared" si="62"/>
        <v>2519</v>
      </c>
      <c r="Z215" s="150">
        <f t="shared" si="63"/>
        <v>0</v>
      </c>
      <c r="AA215" s="150">
        <f t="shared" si="64"/>
        <v>2519</v>
      </c>
      <c r="AB215" s="113">
        <f t="shared" si="65"/>
        <v>31409.558492518598</v>
      </c>
      <c r="AC215" s="36"/>
      <c r="AD215" s="272" t="str">
        <f t="shared" si="66"/>
        <v>Rock Creek</v>
      </c>
      <c r="AE215" s="273">
        <f t="shared" si="67"/>
        <v>0</v>
      </c>
      <c r="AF215" s="273">
        <f t="shared" si="68"/>
        <v>0</v>
      </c>
      <c r="AG215" s="273">
        <f t="shared" si="69"/>
        <v>0</v>
      </c>
      <c r="AH215" s="273">
        <f t="shared" si="70"/>
        <v>0</v>
      </c>
      <c r="AI215" s="273">
        <f t="shared" si="71"/>
        <v>0</v>
      </c>
      <c r="AJ215" s="273">
        <f t="shared" si="72"/>
        <v>0</v>
      </c>
      <c r="AK215" s="273">
        <f t="shared" si="73"/>
        <v>0</v>
      </c>
      <c r="AL215" s="274">
        <f t="shared" si="74"/>
        <v>0</v>
      </c>
      <c r="AN215" s="75" t="str">
        <f t="shared" si="75"/>
        <v>Rock Creek</v>
      </c>
      <c r="AO215" s="75" t="str">
        <f t="shared" si="76"/>
        <v>Large Hydroelectric</v>
      </c>
      <c r="AP215" s="48">
        <f t="shared" si="79"/>
        <v>31409.558492518598</v>
      </c>
      <c r="AQ215" s="48">
        <f t="shared" si="77"/>
        <v>1373.4467474290784</v>
      </c>
      <c r="AR215" s="49">
        <f t="shared" si="78"/>
        <v>0</v>
      </c>
    </row>
    <row r="216" spans="1:44" ht="15">
      <c r="A216" s="38" t="s">
        <v>912</v>
      </c>
      <c r="B216" s="38" t="s">
        <v>31</v>
      </c>
      <c r="C216" s="38" t="s">
        <v>3771</v>
      </c>
      <c r="D216" s="38"/>
      <c r="E216" s="38"/>
      <c r="F216" s="38">
        <v>279</v>
      </c>
      <c r="G216" s="47">
        <f t="shared" si="60"/>
        <v>4.3727031303423702E-2</v>
      </c>
      <c r="H216" s="44">
        <f>9344.052+1607.348+379.297</f>
        <v>11330.697</v>
      </c>
      <c r="I216" s="44"/>
      <c r="J216" s="45">
        <f t="shared" si="80"/>
        <v>11330.697</v>
      </c>
      <c r="K216" s="38"/>
      <c r="L216" s="38"/>
      <c r="M216" s="38"/>
      <c r="N216" s="34">
        <f>VLOOKUP(F216,'GHG Emissions Factors'!$B$2:$C$4000,2,FALSE)</f>
        <v>0</v>
      </c>
      <c r="O216" s="45">
        <f t="shared" si="61"/>
        <v>0</v>
      </c>
      <c r="P216" s="34">
        <f>IF(L216="yes", 0, _xlfn.XLOOKUP(F216, 'GHG Emissions Factors'!$B$2:$B$4000, 'GHG Emissions Factors'!$D$2:$D$4000, 0))</f>
        <v>0</v>
      </c>
      <c r="Q216" s="46"/>
      <c r="R216" s="46"/>
      <c r="S216" s="46">
        <f>ProcurementAllocationData[[#This Row],[Net MWhs Procured]]-(ProcurementAllocationData[[#This Row],[Deep Green]]+ProcurementAllocationData[[#This Row],[LocalSol]]+ProcurementAllocationData[[#This Row],[GreenAccess]])</f>
        <v>11330.697</v>
      </c>
      <c r="T216" s="46"/>
      <c r="U216" s="46"/>
      <c r="V216" s="46"/>
      <c r="W216" s="46"/>
      <c r="X216" s="46"/>
      <c r="Y216" s="112">
        <f t="shared" si="62"/>
        <v>495</v>
      </c>
      <c r="Z216" s="150">
        <f t="shared" si="63"/>
        <v>0</v>
      </c>
      <c r="AA216" s="150">
        <f t="shared" si="64"/>
        <v>495</v>
      </c>
      <c r="AB216" s="113">
        <f t="shared" si="65"/>
        <v>0</v>
      </c>
      <c r="AC216" s="36"/>
      <c r="AD216" s="272" t="str">
        <f t="shared" si="66"/>
        <v>Salt Springs</v>
      </c>
      <c r="AE216" s="273">
        <f t="shared" si="67"/>
        <v>0</v>
      </c>
      <c r="AF216" s="273">
        <f t="shared" si="68"/>
        <v>0</v>
      </c>
      <c r="AG216" s="273">
        <f t="shared" si="69"/>
        <v>0</v>
      </c>
      <c r="AH216" s="273">
        <f t="shared" si="70"/>
        <v>0</v>
      </c>
      <c r="AI216" s="273">
        <f t="shared" si="71"/>
        <v>0</v>
      </c>
      <c r="AJ216" s="273">
        <f t="shared" si="72"/>
        <v>0</v>
      </c>
      <c r="AK216" s="273">
        <f t="shared" si="73"/>
        <v>0</v>
      </c>
      <c r="AL216" s="274">
        <f t="shared" si="74"/>
        <v>0</v>
      </c>
      <c r="AN216" s="75" t="str">
        <f t="shared" si="75"/>
        <v>-</v>
      </c>
      <c r="AO216" s="75" t="str">
        <f t="shared" si="76"/>
        <v>-</v>
      </c>
      <c r="AP216" s="48">
        <f t="shared" si="79"/>
        <v>0</v>
      </c>
      <c r="AQ216" s="48">
        <f t="shared" si="77"/>
        <v>0</v>
      </c>
      <c r="AR216" s="49">
        <f t="shared" si="78"/>
        <v>0</v>
      </c>
    </row>
    <row r="217" spans="1:44" ht="15">
      <c r="A217" s="38" t="s">
        <v>918</v>
      </c>
      <c r="B217" s="38" t="s">
        <v>31</v>
      </c>
      <c r="C217" s="38" t="s">
        <v>3771</v>
      </c>
      <c r="D217" s="38"/>
      <c r="E217" s="38"/>
      <c r="F217" s="38">
        <v>285</v>
      </c>
      <c r="G217" s="47">
        <f t="shared" si="60"/>
        <v>4.3727031303423702E-2</v>
      </c>
      <c r="H217" s="44">
        <f>16031.134+3729.411+1433.207</f>
        <v>21193.751999999997</v>
      </c>
      <c r="I217" s="44"/>
      <c r="J217" s="45">
        <f t="shared" si="80"/>
        <v>21193.751999999997</v>
      </c>
      <c r="K217" s="38"/>
      <c r="L217" s="38"/>
      <c r="M217" s="38"/>
      <c r="N217" s="34">
        <f>VLOOKUP(F217,'GHG Emissions Factors'!$B$2:$C$4000,2,FALSE)</f>
        <v>0</v>
      </c>
      <c r="O217" s="45">
        <f t="shared" si="61"/>
        <v>0</v>
      </c>
      <c r="P217" s="34">
        <f>IF(L217="yes", 0, _xlfn.XLOOKUP(F217, 'GHG Emissions Factors'!$B$2:$B$4000, 'GHG Emissions Factors'!$D$2:$D$4000, 0))</f>
        <v>0</v>
      </c>
      <c r="Q217" s="46"/>
      <c r="R217" s="46"/>
      <c r="S217" s="46">
        <f>ProcurementAllocationData[[#This Row],[Net MWhs Procured]]-(ProcurementAllocationData[[#This Row],[Deep Green]]+ProcurementAllocationData[[#This Row],[LocalSol]]+ProcurementAllocationData[[#This Row],[GreenAccess]])</f>
        <v>21193.751999999997</v>
      </c>
      <c r="T217" s="46"/>
      <c r="U217" s="46"/>
      <c r="V217" s="46"/>
      <c r="W217" s="46"/>
      <c r="X217" s="46"/>
      <c r="Y217" s="112">
        <f t="shared" si="62"/>
        <v>927</v>
      </c>
      <c r="Z217" s="150">
        <f t="shared" si="63"/>
        <v>0</v>
      </c>
      <c r="AA217" s="150">
        <f t="shared" si="64"/>
        <v>927</v>
      </c>
      <c r="AB217" s="113">
        <f t="shared" si="65"/>
        <v>0</v>
      </c>
      <c r="AC217" s="36"/>
      <c r="AD217" s="272" t="str">
        <f t="shared" si="66"/>
        <v>Stanislaus</v>
      </c>
      <c r="AE217" s="273">
        <f t="shared" si="67"/>
        <v>0</v>
      </c>
      <c r="AF217" s="273">
        <f t="shared" si="68"/>
        <v>0</v>
      </c>
      <c r="AG217" s="273">
        <f t="shared" si="69"/>
        <v>0</v>
      </c>
      <c r="AH217" s="273">
        <f t="shared" si="70"/>
        <v>0</v>
      </c>
      <c r="AI217" s="273">
        <f t="shared" si="71"/>
        <v>0</v>
      </c>
      <c r="AJ217" s="273">
        <f t="shared" si="72"/>
        <v>0</v>
      </c>
      <c r="AK217" s="273">
        <f t="shared" si="73"/>
        <v>0</v>
      </c>
      <c r="AL217" s="274">
        <f t="shared" si="74"/>
        <v>0</v>
      </c>
      <c r="AN217" s="75" t="str">
        <f t="shared" si="75"/>
        <v>-</v>
      </c>
      <c r="AO217" s="75" t="str">
        <f t="shared" si="76"/>
        <v>-</v>
      </c>
      <c r="AP217" s="48">
        <f t="shared" si="79"/>
        <v>0</v>
      </c>
      <c r="AQ217" s="48">
        <f t="shared" si="77"/>
        <v>0</v>
      </c>
      <c r="AR217" s="49">
        <f t="shared" si="78"/>
        <v>0</v>
      </c>
    </row>
    <row r="218" spans="1:44" ht="15">
      <c r="A218" s="38" t="s">
        <v>919</v>
      </c>
      <c r="B218" s="38" t="s">
        <v>31</v>
      </c>
      <c r="C218" s="38" t="s">
        <v>3771</v>
      </c>
      <c r="D218" s="38"/>
      <c r="E218" s="38"/>
      <c r="F218" s="38">
        <v>287</v>
      </c>
      <c r="G218" s="47">
        <f t="shared" si="60"/>
        <v>4.3727031303423702E-2</v>
      </c>
      <c r="H218" s="44">
        <f>17396.769+2985.715+307.987</f>
        <v>20690.471000000001</v>
      </c>
      <c r="I218" s="44"/>
      <c r="J218" s="45">
        <f t="shared" si="80"/>
        <v>20690.471000000001</v>
      </c>
      <c r="K218" s="38"/>
      <c r="L218" s="38"/>
      <c r="M218" s="38"/>
      <c r="N218" s="34">
        <f>VLOOKUP(F218,'GHG Emissions Factors'!$B$2:$C$4000,2,FALSE)</f>
        <v>0</v>
      </c>
      <c r="O218" s="45">
        <f t="shared" si="61"/>
        <v>0</v>
      </c>
      <c r="P218" s="34">
        <f>IF(L218="yes", 0, _xlfn.XLOOKUP(F218, 'GHG Emissions Factors'!$B$2:$B$4000, 'GHG Emissions Factors'!$D$2:$D$4000, 0))</f>
        <v>0</v>
      </c>
      <c r="Q218" s="46"/>
      <c r="R218" s="46"/>
      <c r="S218" s="46">
        <f>ProcurementAllocationData[[#This Row],[Net MWhs Procured]]-(ProcurementAllocationData[[#This Row],[Deep Green]]+ProcurementAllocationData[[#This Row],[LocalSol]]+ProcurementAllocationData[[#This Row],[GreenAccess]])</f>
        <v>20690.471000000001</v>
      </c>
      <c r="T218" s="46"/>
      <c r="U218" s="46"/>
      <c r="V218" s="46"/>
      <c r="W218" s="46"/>
      <c r="X218" s="46"/>
      <c r="Y218" s="112">
        <f t="shared" si="62"/>
        <v>905</v>
      </c>
      <c r="Z218" s="150">
        <f t="shared" si="63"/>
        <v>0</v>
      </c>
      <c r="AA218" s="150">
        <f t="shared" si="64"/>
        <v>905</v>
      </c>
      <c r="AB218" s="113">
        <f t="shared" si="65"/>
        <v>0</v>
      </c>
      <c r="AC218" s="36"/>
      <c r="AD218" s="272" t="str">
        <f t="shared" si="66"/>
        <v>Tiger Creek</v>
      </c>
      <c r="AE218" s="273">
        <f t="shared" si="67"/>
        <v>0</v>
      </c>
      <c r="AF218" s="273">
        <f t="shared" si="68"/>
        <v>0</v>
      </c>
      <c r="AG218" s="273">
        <f t="shared" si="69"/>
        <v>0</v>
      </c>
      <c r="AH218" s="273">
        <f t="shared" si="70"/>
        <v>0</v>
      </c>
      <c r="AI218" s="273">
        <f t="shared" si="71"/>
        <v>0</v>
      </c>
      <c r="AJ218" s="273">
        <f t="shared" si="72"/>
        <v>0</v>
      </c>
      <c r="AK218" s="273">
        <f t="shared" si="73"/>
        <v>0</v>
      </c>
      <c r="AL218" s="274">
        <f t="shared" si="74"/>
        <v>0</v>
      </c>
      <c r="AN218" s="75" t="str">
        <f t="shared" si="75"/>
        <v>-</v>
      </c>
      <c r="AO218" s="75" t="str">
        <f t="shared" si="76"/>
        <v>-</v>
      </c>
      <c r="AP218" s="48">
        <f t="shared" si="79"/>
        <v>0</v>
      </c>
      <c r="AQ218" s="48">
        <f t="shared" si="77"/>
        <v>0</v>
      </c>
      <c r="AR218" s="49">
        <f t="shared" si="78"/>
        <v>0</v>
      </c>
    </row>
    <row r="219" spans="1:44" ht="15">
      <c r="A219" s="38" t="s">
        <v>4253</v>
      </c>
      <c r="B219" s="38" t="s">
        <v>31</v>
      </c>
      <c r="C219" s="38" t="s">
        <v>3771</v>
      </c>
      <c r="D219" s="38"/>
      <c r="E219" s="38"/>
      <c r="F219" s="38">
        <v>412</v>
      </c>
      <c r="G219" s="47">
        <f t="shared" si="60"/>
        <v>4.3727031303423702E-2</v>
      </c>
      <c r="H219" s="44">
        <f>5301.51+1109.919+235.308</f>
        <v>6646.7370000000001</v>
      </c>
      <c r="I219" s="44"/>
      <c r="J219" s="45">
        <f t="shared" si="80"/>
        <v>6646.7370000000001</v>
      </c>
      <c r="K219" s="38"/>
      <c r="L219" s="38"/>
      <c r="M219" s="38"/>
      <c r="N219" s="34">
        <f>VLOOKUP(F219,'GHG Emissions Factors'!$B$2:$C$4000,2,FALSE)</f>
        <v>0</v>
      </c>
      <c r="O219" s="45">
        <f t="shared" si="61"/>
        <v>0</v>
      </c>
      <c r="P219" s="34">
        <f>IF(L219="yes", 0, _xlfn.XLOOKUP(F219, 'GHG Emissions Factors'!$B$2:$B$4000, 'GHG Emissions Factors'!$D$2:$D$4000, 0))</f>
        <v>0</v>
      </c>
      <c r="Q219" s="46"/>
      <c r="R219" s="46"/>
      <c r="S219" s="46">
        <f>ProcurementAllocationData[[#This Row],[Net MWhs Procured]]-(ProcurementAllocationData[[#This Row],[Deep Green]]+ProcurementAllocationData[[#This Row],[LocalSol]]+ProcurementAllocationData[[#This Row],[GreenAccess]])-577.24499999918</f>
        <v>6069.4920000008206</v>
      </c>
      <c r="T219" s="46"/>
      <c r="U219" s="46"/>
      <c r="V219" s="46"/>
      <c r="W219" s="46"/>
      <c r="X219" s="46"/>
      <c r="Y219" s="112">
        <f t="shared" si="62"/>
        <v>265</v>
      </c>
      <c r="Z219" s="150">
        <f t="shared" si="63"/>
        <v>0</v>
      </c>
      <c r="AA219" s="150">
        <f t="shared" si="64"/>
        <v>265</v>
      </c>
      <c r="AB219" s="113">
        <f t="shared" si="65"/>
        <v>577.24499999917953</v>
      </c>
      <c r="AC219" s="36"/>
      <c r="AD219" s="272" t="str">
        <f t="shared" si="66"/>
        <v>NID-Chicago Park</v>
      </c>
      <c r="AE219" s="273">
        <f t="shared" si="67"/>
        <v>0</v>
      </c>
      <c r="AF219" s="273">
        <f t="shared" si="68"/>
        <v>0</v>
      </c>
      <c r="AG219" s="273">
        <f t="shared" si="69"/>
        <v>0</v>
      </c>
      <c r="AH219" s="273">
        <f t="shared" si="70"/>
        <v>0</v>
      </c>
      <c r="AI219" s="273">
        <f t="shared" si="71"/>
        <v>0</v>
      </c>
      <c r="AJ219" s="273">
        <f t="shared" si="72"/>
        <v>0</v>
      </c>
      <c r="AK219" s="273">
        <f t="shared" si="73"/>
        <v>0</v>
      </c>
      <c r="AL219" s="274">
        <f t="shared" si="74"/>
        <v>0</v>
      </c>
      <c r="AN219" s="75" t="str">
        <f t="shared" si="75"/>
        <v>NID-Chicago Park</v>
      </c>
      <c r="AO219" s="75" t="str">
        <f t="shared" si="76"/>
        <v>Large Hydroelectric</v>
      </c>
      <c r="AP219" s="48">
        <f t="shared" si="79"/>
        <v>577.24499999917953</v>
      </c>
      <c r="AQ219" s="48">
        <f t="shared" si="77"/>
        <v>25.241210184708937</v>
      </c>
      <c r="AR219" s="49">
        <f t="shared" si="78"/>
        <v>0</v>
      </c>
    </row>
    <row r="220" spans="1:44" ht="15">
      <c r="A220" s="38" t="s">
        <v>4245</v>
      </c>
      <c r="B220" s="38" t="s">
        <v>32</v>
      </c>
      <c r="C220" s="38" t="s">
        <v>3771</v>
      </c>
      <c r="D220" s="38"/>
      <c r="E220" s="38"/>
      <c r="F220" s="38">
        <v>6099</v>
      </c>
      <c r="G220" s="47">
        <f t="shared" ref="G220:G283" si="81">IF(C220="CA",Default_in_state_loss_factor,Default_out_of_state_loss_factor)</f>
        <v>4.3727031303423702E-2</v>
      </c>
      <c r="H220" s="44">
        <v>285118.21399999998</v>
      </c>
      <c r="I220" s="44"/>
      <c r="J220" s="45">
        <f t="shared" si="80"/>
        <v>285118.21399999998</v>
      </c>
      <c r="K220" s="38"/>
      <c r="L220" s="38"/>
      <c r="M220" s="38"/>
      <c r="N220" s="34">
        <f>VLOOKUP(F220,'GHG Emissions Factors'!$B$2:$C$4000,2,FALSE)</f>
        <v>0</v>
      </c>
      <c r="O220" s="45">
        <f t="shared" ref="O220:O283" si="82">N220*J220</f>
        <v>0</v>
      </c>
      <c r="P220" s="34">
        <f>IF(L220="yes", 0, _xlfn.XLOOKUP(F220, 'GHG Emissions Factors'!$B$2:$B$4000, 'GHG Emissions Factors'!$D$2:$D$4000, 0))</f>
        <v>0</v>
      </c>
      <c r="Q220" s="46"/>
      <c r="R220" s="46"/>
      <c r="S220" s="46">
        <v>0</v>
      </c>
      <c r="T220" s="46"/>
      <c r="U220" s="46"/>
      <c r="V220" s="46"/>
      <c r="W220" s="46"/>
      <c r="X220" s="46">
        <f>279442.120080414-22120.1200804143-967-42-2+2.91038304567337E-10-26-1</f>
        <v>256284</v>
      </c>
      <c r="Y220" s="112">
        <f t="shared" ref="Y220:Y283" si="83">ROUND((SUM(Q220:X220)*G220),0)</f>
        <v>11207</v>
      </c>
      <c r="Z220" s="150">
        <f t="shared" ref="Z220:Z283" si="84">IF(M220="Yes",Y220,0)</f>
        <v>0</v>
      </c>
      <c r="AA220" s="150">
        <f t="shared" ref="AA220:AA283" si="85">Y220-Z220</f>
        <v>11207</v>
      </c>
      <c r="AB220" s="113">
        <f t="shared" ref="AB220:AB283" si="86">J220-(SUM(Q220:X220))</f>
        <v>28834.213999999978</v>
      </c>
      <c r="AC220" s="36"/>
      <c r="AD220" s="272" t="str">
        <f t="shared" ref="AD220:AD283" si="87">IF(ISTEXT(A220),A220,"")</f>
        <v>Diablo Canyon Power Plant Unit 1</v>
      </c>
      <c r="AE220" s="273">
        <f t="shared" ref="AE220:AE283" si="88">Q220*$P220</f>
        <v>0</v>
      </c>
      <c r="AF220" s="273">
        <f t="shared" ref="AF220:AF283" si="89">R220*$P220</f>
        <v>0</v>
      </c>
      <c r="AG220" s="273">
        <f t="shared" ref="AG220:AG283" si="90">S220*$P220</f>
        <v>0</v>
      </c>
      <c r="AH220" s="273">
        <f t="shared" ref="AH220:AH283" si="91">T220*$P220</f>
        <v>0</v>
      </c>
      <c r="AI220" s="273">
        <f t="shared" ref="AI220:AI283" si="92">U220*$P220</f>
        <v>0</v>
      </c>
      <c r="AJ220" s="273">
        <f t="shared" ref="AJ220:AJ283" si="93">V220*$P220</f>
        <v>0</v>
      </c>
      <c r="AK220" s="273">
        <f t="shared" ref="AK220:AK283" si="94">W220*$P220</f>
        <v>0</v>
      </c>
      <c r="AL220" s="274">
        <f t="shared" ref="AL220:AL283" si="95">(X220*$P220)+(Z220*$P220)</f>
        <v>0</v>
      </c>
      <c r="AN220" s="75" t="str">
        <f t="shared" ref="AN220:AN283" si="96">IF(AB220&gt;0,A220,"-")</f>
        <v>Diablo Canyon Power Plant Unit 1</v>
      </c>
      <c r="AO220" s="75" t="str">
        <f t="shared" ref="AO220:AO283" si="97">IF(AB220&gt;0,B220,"-")</f>
        <v>Nuclear</v>
      </c>
      <c r="AP220" s="48">
        <f t="shared" si="79"/>
        <v>28834.213999999978</v>
      </c>
      <c r="AQ220" s="48">
        <f t="shared" ref="AQ220:AQ283" si="98">AP220*G220</f>
        <v>1260.8345781876169</v>
      </c>
      <c r="AR220" s="49">
        <f t="shared" ref="AR220:AR283" si="99">IF(ISNUMBER(AP220),AP220*N220,0)</f>
        <v>0</v>
      </c>
    </row>
    <row r="221" spans="1:44" ht="15">
      <c r="A221" s="38" t="s">
        <v>4246</v>
      </c>
      <c r="B221" s="38" t="s">
        <v>32</v>
      </c>
      <c r="C221" s="38" t="s">
        <v>3771</v>
      </c>
      <c r="D221" s="38"/>
      <c r="E221" s="38"/>
      <c r="F221" s="38">
        <v>6099</v>
      </c>
      <c r="G221" s="47">
        <f t="shared" si="81"/>
        <v>4.3727031303423702E-2</v>
      </c>
      <c r="H221" s="44">
        <v>82036.989000000001</v>
      </c>
      <c r="I221" s="44"/>
      <c r="J221" s="45">
        <f t="shared" si="80"/>
        <v>82036.989000000001</v>
      </c>
      <c r="K221" s="38"/>
      <c r="L221" s="38"/>
      <c r="M221" s="38"/>
      <c r="N221" s="34">
        <f>VLOOKUP(F221,'GHG Emissions Factors'!$B$2:$C$4000,2,FALSE)</f>
        <v>0</v>
      </c>
      <c r="O221" s="45">
        <f t="shared" si="82"/>
        <v>0</v>
      </c>
      <c r="P221" s="34">
        <f>IF(L221="yes", 0, _xlfn.XLOOKUP(F221, 'GHG Emissions Factors'!$B$2:$B$4000, 'GHG Emissions Factors'!$D$2:$D$4000, 0))</f>
        <v>0</v>
      </c>
      <c r="Q221" s="46"/>
      <c r="R221" s="46"/>
      <c r="S221" s="46">
        <v>0</v>
      </c>
      <c r="T221" s="46"/>
      <c r="U221" s="46"/>
      <c r="V221" s="46"/>
      <c r="W221" s="46"/>
      <c r="X221" s="46"/>
      <c r="Y221" s="112">
        <f t="shared" si="83"/>
        <v>0</v>
      </c>
      <c r="Z221" s="150">
        <f t="shared" si="84"/>
        <v>0</v>
      </c>
      <c r="AA221" s="150">
        <f t="shared" si="85"/>
        <v>0</v>
      </c>
      <c r="AB221" s="113">
        <f t="shared" si="86"/>
        <v>82036.989000000001</v>
      </c>
      <c r="AC221" s="36"/>
      <c r="AD221" s="272" t="str">
        <f t="shared" si="87"/>
        <v>Diablo Canyon Power Plant Unit 2</v>
      </c>
      <c r="AE221" s="273">
        <f t="shared" si="88"/>
        <v>0</v>
      </c>
      <c r="AF221" s="273">
        <f t="shared" si="89"/>
        <v>0</v>
      </c>
      <c r="AG221" s="273">
        <f t="shared" si="90"/>
        <v>0</v>
      </c>
      <c r="AH221" s="273">
        <f t="shared" si="91"/>
        <v>0</v>
      </c>
      <c r="AI221" s="273">
        <f t="shared" si="92"/>
        <v>0</v>
      </c>
      <c r="AJ221" s="273">
        <f t="shared" si="93"/>
        <v>0</v>
      </c>
      <c r="AK221" s="273">
        <f t="shared" si="94"/>
        <v>0</v>
      </c>
      <c r="AL221" s="274">
        <f t="shared" si="95"/>
        <v>0</v>
      </c>
      <c r="AN221" s="75" t="str">
        <f t="shared" si="96"/>
        <v>Diablo Canyon Power Plant Unit 2</v>
      </c>
      <c r="AO221" s="75" t="str">
        <f t="shared" si="97"/>
        <v>Nuclear</v>
      </c>
      <c r="AP221" s="48">
        <f t="shared" ref="AP221:AP284" si="100">IF(AB221&gt;0,AB221,0)</f>
        <v>82036.989000000001</v>
      </c>
      <c r="AQ221" s="48">
        <f t="shared" si="98"/>
        <v>3587.2339860416259</v>
      </c>
      <c r="AR221" s="49">
        <f t="shared" si="99"/>
        <v>0</v>
      </c>
    </row>
    <row r="222" spans="1:44" ht="15">
      <c r="A222" s="38" t="s">
        <v>4254</v>
      </c>
      <c r="B222" s="38" t="s">
        <v>31</v>
      </c>
      <c r="C222" s="38" t="s">
        <v>3968</v>
      </c>
      <c r="D222" s="38"/>
      <c r="E222" s="38"/>
      <c r="F222" s="38" t="s">
        <v>165</v>
      </c>
      <c r="G222" s="47">
        <f t="shared" si="81"/>
        <v>6.5978850116714893E-2</v>
      </c>
      <c r="H222" s="44">
        <v>264828.77989581955</v>
      </c>
      <c r="I222" s="44">
        <v>7353</v>
      </c>
      <c r="J222" s="45">
        <f t="shared" si="80"/>
        <v>257475.77989581955</v>
      </c>
      <c r="K222" s="38"/>
      <c r="L222" s="38"/>
      <c r="M222" s="38"/>
      <c r="N222" s="34">
        <f>VLOOKUP(F222,'GHG Emissions Factors'!$B$2:$C$4000,2,FALSE)</f>
        <v>4.5100000000000001E-2</v>
      </c>
      <c r="O222" s="45">
        <f t="shared" si="82"/>
        <v>11612.157673301463</v>
      </c>
      <c r="P222" s="34">
        <f>IF(L222="yes", 0, _xlfn.XLOOKUP(F222, 'GHG Emissions Factors'!$B$2:$B$4000, 'GHG Emissions Factors'!$D$2:$D$4000, 0))</f>
        <v>4.5100000000000001E-2</v>
      </c>
      <c r="Q222" s="46"/>
      <c r="R222" s="46"/>
      <c r="S222" s="46">
        <v>0</v>
      </c>
      <c r="T222" s="46"/>
      <c r="U222" s="46"/>
      <c r="V222" s="46"/>
      <c r="W222" s="46"/>
      <c r="X222" s="46"/>
      <c r="Y222" s="112">
        <f t="shared" si="83"/>
        <v>0</v>
      </c>
      <c r="Z222" s="150">
        <f t="shared" si="84"/>
        <v>0</v>
      </c>
      <c r="AA222" s="150">
        <f t="shared" si="85"/>
        <v>0</v>
      </c>
      <c r="AB222" s="113">
        <f t="shared" si="86"/>
        <v>257475.77989581955</v>
      </c>
      <c r="AC222" s="36"/>
      <c r="AD222" s="272" t="str">
        <f t="shared" si="87"/>
        <v>BPA ACS Porfolio - Large Hydro</v>
      </c>
      <c r="AE222" s="273">
        <f t="shared" si="88"/>
        <v>0</v>
      </c>
      <c r="AF222" s="273">
        <f t="shared" si="89"/>
        <v>0</v>
      </c>
      <c r="AG222" s="273">
        <f t="shared" si="90"/>
        <v>0</v>
      </c>
      <c r="AH222" s="273">
        <f t="shared" si="91"/>
        <v>0</v>
      </c>
      <c r="AI222" s="273">
        <f t="shared" si="92"/>
        <v>0</v>
      </c>
      <c r="AJ222" s="273">
        <f t="shared" si="93"/>
        <v>0</v>
      </c>
      <c r="AK222" s="273">
        <f t="shared" si="94"/>
        <v>0</v>
      </c>
      <c r="AL222" s="274">
        <f t="shared" si="95"/>
        <v>0</v>
      </c>
      <c r="AN222" s="75" t="str">
        <f t="shared" si="96"/>
        <v>BPA ACS Porfolio - Large Hydro</v>
      </c>
      <c r="AO222" s="75" t="str">
        <f t="shared" si="97"/>
        <v>Large Hydroelectric</v>
      </c>
      <c r="AP222" s="48">
        <f t="shared" si="100"/>
        <v>257475.77989581955</v>
      </c>
      <c r="AQ222" s="48">
        <f t="shared" si="98"/>
        <v>16987.955890430552</v>
      </c>
      <c r="AR222" s="49">
        <f t="shared" si="99"/>
        <v>11612.157673301463</v>
      </c>
    </row>
    <row r="223" spans="1:44" ht="15">
      <c r="A223" s="38" t="s">
        <v>4255</v>
      </c>
      <c r="B223" s="38" t="s">
        <v>32</v>
      </c>
      <c r="C223" s="38" t="s">
        <v>3968</v>
      </c>
      <c r="D223" s="38"/>
      <c r="E223" s="38"/>
      <c r="F223" s="38" t="s">
        <v>165</v>
      </c>
      <c r="G223" s="47">
        <f t="shared" si="81"/>
        <v>6.5978850116714893E-2</v>
      </c>
      <c r="H223" s="44">
        <v>38615.651828879578</v>
      </c>
      <c r="I223" s="44">
        <v>1072</v>
      </c>
      <c r="J223" s="45">
        <f t="shared" si="80"/>
        <v>37543.651828879578</v>
      </c>
      <c r="K223" s="38"/>
      <c r="L223" s="38"/>
      <c r="M223" s="38"/>
      <c r="N223" s="34">
        <f>VLOOKUP(F223,'GHG Emissions Factors'!$B$2:$C$4000,2,FALSE)</f>
        <v>4.5100000000000001E-2</v>
      </c>
      <c r="O223" s="45">
        <f t="shared" si="82"/>
        <v>1693.218697482469</v>
      </c>
      <c r="P223" s="34">
        <f>IF(L223="yes", 0, _xlfn.XLOOKUP(F223, 'GHG Emissions Factors'!$B$2:$B$4000, 'GHG Emissions Factors'!$D$2:$D$4000, 0))</f>
        <v>4.5100000000000001E-2</v>
      </c>
      <c r="Q223" s="46"/>
      <c r="R223" s="46"/>
      <c r="S223" s="46">
        <v>0</v>
      </c>
      <c r="T223" s="46"/>
      <c r="U223" s="46"/>
      <c r="V223" s="46"/>
      <c r="W223" s="46"/>
      <c r="X223" s="46"/>
      <c r="Y223" s="112">
        <f t="shared" si="83"/>
        <v>0</v>
      </c>
      <c r="Z223" s="150">
        <f t="shared" si="84"/>
        <v>0</v>
      </c>
      <c r="AA223" s="150">
        <f t="shared" si="85"/>
        <v>0</v>
      </c>
      <c r="AB223" s="113">
        <f t="shared" si="86"/>
        <v>37543.651828879578</v>
      </c>
      <c r="AC223" s="36"/>
      <c r="AD223" s="272" t="str">
        <f t="shared" si="87"/>
        <v>BPA ACS Porfolio - Nuclear</v>
      </c>
      <c r="AE223" s="273">
        <f t="shared" si="88"/>
        <v>0</v>
      </c>
      <c r="AF223" s="273">
        <f t="shared" si="89"/>
        <v>0</v>
      </c>
      <c r="AG223" s="273">
        <f t="shared" si="90"/>
        <v>0</v>
      </c>
      <c r="AH223" s="273">
        <f t="shared" si="91"/>
        <v>0</v>
      </c>
      <c r="AI223" s="273">
        <f t="shared" si="92"/>
        <v>0</v>
      </c>
      <c r="AJ223" s="273">
        <f t="shared" si="93"/>
        <v>0</v>
      </c>
      <c r="AK223" s="273">
        <f t="shared" si="94"/>
        <v>0</v>
      </c>
      <c r="AL223" s="274">
        <f t="shared" si="95"/>
        <v>0</v>
      </c>
      <c r="AN223" s="75" t="str">
        <f t="shared" si="96"/>
        <v>BPA ACS Porfolio - Nuclear</v>
      </c>
      <c r="AO223" s="75" t="str">
        <f t="shared" si="97"/>
        <v>Nuclear</v>
      </c>
      <c r="AP223" s="48">
        <f t="shared" si="100"/>
        <v>37543.651828879578</v>
      </c>
      <c r="AQ223" s="48">
        <f t="shared" si="98"/>
        <v>2477.0869768517746</v>
      </c>
      <c r="AR223" s="49">
        <f t="shared" si="99"/>
        <v>1693.218697482469</v>
      </c>
    </row>
    <row r="224" spans="1:44" ht="15">
      <c r="A224" s="38" t="s">
        <v>4256</v>
      </c>
      <c r="B224" s="38" t="s">
        <v>37</v>
      </c>
      <c r="C224" s="38" t="s">
        <v>3968</v>
      </c>
      <c r="D224" s="38"/>
      <c r="E224" s="38"/>
      <c r="F224" s="38" t="s">
        <v>165</v>
      </c>
      <c r="G224" s="47">
        <f t="shared" si="81"/>
        <v>6.5978850116714893E-2</v>
      </c>
      <c r="H224" s="44">
        <v>36825.804131200544</v>
      </c>
      <c r="I224" s="44">
        <v>1022</v>
      </c>
      <c r="J224" s="45">
        <f t="shared" si="80"/>
        <v>35803.804131200544</v>
      </c>
      <c r="K224" s="38"/>
      <c r="L224" s="38"/>
      <c r="M224" s="38"/>
      <c r="N224" s="34">
        <f>VLOOKUP(F224,'GHG Emissions Factors'!$B$2:$C$4000,2,FALSE)</f>
        <v>4.5100000000000001E-2</v>
      </c>
      <c r="O224" s="45">
        <f t="shared" si="82"/>
        <v>1614.7515663171446</v>
      </c>
      <c r="P224" s="34">
        <f>IF(L224="yes", 0, _xlfn.XLOOKUP(F224, 'GHG Emissions Factors'!$B$2:$B$4000, 'GHG Emissions Factors'!$D$2:$D$4000, 0))</f>
        <v>4.5100000000000001E-2</v>
      </c>
      <c r="Q224" s="46"/>
      <c r="R224" s="46"/>
      <c r="S224" s="46">
        <v>0</v>
      </c>
      <c r="T224" s="46"/>
      <c r="U224" s="46"/>
      <c r="V224" s="46"/>
      <c r="W224" s="46"/>
      <c r="X224" s="46"/>
      <c r="Y224" s="112">
        <f t="shared" si="83"/>
        <v>0</v>
      </c>
      <c r="Z224" s="150">
        <f t="shared" si="84"/>
        <v>0</v>
      </c>
      <c r="AA224" s="150">
        <f t="shared" si="85"/>
        <v>0</v>
      </c>
      <c r="AB224" s="113">
        <f t="shared" si="86"/>
        <v>35803.804131200544</v>
      </c>
      <c r="AC224" s="36"/>
      <c r="AD224" s="272" t="str">
        <f t="shared" si="87"/>
        <v>BPA ACS Porfolio - Unspecified</v>
      </c>
      <c r="AE224" s="273">
        <f t="shared" si="88"/>
        <v>0</v>
      </c>
      <c r="AF224" s="273">
        <f t="shared" si="89"/>
        <v>0</v>
      </c>
      <c r="AG224" s="273">
        <f t="shared" si="90"/>
        <v>0</v>
      </c>
      <c r="AH224" s="273">
        <f t="shared" si="91"/>
        <v>0</v>
      </c>
      <c r="AI224" s="273">
        <f t="shared" si="92"/>
        <v>0</v>
      </c>
      <c r="AJ224" s="273">
        <f t="shared" si="93"/>
        <v>0</v>
      </c>
      <c r="AK224" s="273">
        <f t="shared" si="94"/>
        <v>0</v>
      </c>
      <c r="AL224" s="274">
        <f t="shared" si="95"/>
        <v>0</v>
      </c>
      <c r="AN224" s="75" t="str">
        <f t="shared" si="96"/>
        <v>BPA ACS Porfolio - Unspecified</v>
      </c>
      <c r="AO224" s="75" t="str">
        <f t="shared" si="97"/>
        <v>Unspecified Power - ACS</v>
      </c>
      <c r="AP224" s="48">
        <f t="shared" si="100"/>
        <v>35803.804131200544</v>
      </c>
      <c r="AQ224" s="48">
        <f t="shared" si="98"/>
        <v>2362.2938263806982</v>
      </c>
      <c r="AR224" s="49">
        <f t="shared" si="99"/>
        <v>1614.7515663171446</v>
      </c>
    </row>
    <row r="225" spans="1:44" ht="15">
      <c r="A225" s="38" t="s">
        <v>4257</v>
      </c>
      <c r="B225" s="38" t="s">
        <v>34</v>
      </c>
      <c r="C225" s="38" t="s">
        <v>3968</v>
      </c>
      <c r="D225" s="38"/>
      <c r="E225" s="38"/>
      <c r="F225" s="38" t="s">
        <v>165</v>
      </c>
      <c r="G225" s="47">
        <f t="shared" si="81"/>
        <v>6.5978850116714893E-2</v>
      </c>
      <c r="H225" s="44">
        <v>2908.9911441002641</v>
      </c>
      <c r="I225" s="44">
        <v>81</v>
      </c>
      <c r="J225" s="45">
        <f t="shared" si="80"/>
        <v>2827.9911441002641</v>
      </c>
      <c r="K225" s="38"/>
      <c r="L225" s="38"/>
      <c r="M225" s="38"/>
      <c r="N225" s="34">
        <f>VLOOKUP(F225,'GHG Emissions Factors'!$B$2:$C$4000,2,FALSE)</f>
        <v>4.5100000000000001E-2</v>
      </c>
      <c r="O225" s="45">
        <f t="shared" si="82"/>
        <v>127.54240059892192</v>
      </c>
      <c r="P225" s="34">
        <f>IF(L225="yes", 0, _xlfn.XLOOKUP(F225, 'GHG Emissions Factors'!$B$2:$B$4000, 'GHG Emissions Factors'!$D$2:$D$4000, 0))</f>
        <v>4.5100000000000001E-2</v>
      </c>
      <c r="Q225" s="46"/>
      <c r="R225" s="46"/>
      <c r="S225" s="46">
        <v>0</v>
      </c>
      <c r="T225" s="46"/>
      <c r="U225" s="46"/>
      <c r="V225" s="46"/>
      <c r="W225" s="46"/>
      <c r="X225" s="46"/>
      <c r="Y225" s="112">
        <f t="shared" si="83"/>
        <v>0</v>
      </c>
      <c r="Z225" s="150">
        <f t="shared" si="84"/>
        <v>0</v>
      </c>
      <c r="AA225" s="150">
        <f t="shared" si="85"/>
        <v>0</v>
      </c>
      <c r="AB225" s="113">
        <f t="shared" si="86"/>
        <v>2827.9911441002641</v>
      </c>
      <c r="AC225" s="36"/>
      <c r="AD225" s="272" t="str">
        <f t="shared" si="87"/>
        <v>BPA ACS Porfolio - Other</v>
      </c>
      <c r="AE225" s="273">
        <f t="shared" si="88"/>
        <v>0</v>
      </c>
      <c r="AF225" s="273">
        <f t="shared" si="89"/>
        <v>0</v>
      </c>
      <c r="AG225" s="273">
        <f t="shared" si="90"/>
        <v>0</v>
      </c>
      <c r="AH225" s="273">
        <f t="shared" si="91"/>
        <v>0</v>
      </c>
      <c r="AI225" s="273">
        <f t="shared" si="92"/>
        <v>0</v>
      </c>
      <c r="AJ225" s="273">
        <f t="shared" si="93"/>
        <v>0</v>
      </c>
      <c r="AK225" s="273">
        <f t="shared" si="94"/>
        <v>0</v>
      </c>
      <c r="AL225" s="274">
        <f t="shared" si="95"/>
        <v>0</v>
      </c>
      <c r="AN225" s="75" t="str">
        <f t="shared" si="96"/>
        <v>BPA ACS Porfolio - Other</v>
      </c>
      <c r="AO225" s="75" t="str">
        <f t="shared" si="97"/>
        <v>Other</v>
      </c>
      <c r="AP225" s="48">
        <f t="shared" si="100"/>
        <v>2827.9911441002641</v>
      </c>
      <c r="AQ225" s="48">
        <f t="shared" si="98"/>
        <v>186.5876038279884</v>
      </c>
      <c r="AR225" s="49">
        <f t="shared" si="99"/>
        <v>127.54240059892192</v>
      </c>
    </row>
    <row r="226" spans="1:44" ht="15">
      <c r="A226" s="38" t="s">
        <v>4258</v>
      </c>
      <c r="B226" s="38" t="s">
        <v>31</v>
      </c>
      <c r="C226" s="38" t="s">
        <v>3968</v>
      </c>
      <c r="D226" s="38"/>
      <c r="E226" s="38"/>
      <c r="F226" s="38" t="s">
        <v>137</v>
      </c>
      <c r="G226" s="47">
        <f t="shared" si="81"/>
        <v>6.5978850116714893E-2</v>
      </c>
      <c r="H226" s="44">
        <v>8933.4135802782293</v>
      </c>
      <c r="I226" s="44"/>
      <c r="J226" s="45">
        <f t="shared" si="80"/>
        <v>8933.4135802782293</v>
      </c>
      <c r="K226" s="38"/>
      <c r="L226" s="38"/>
      <c r="M226" s="38"/>
      <c r="N226" s="34">
        <f>VLOOKUP(F226,'GHG Emissions Factors'!$B$2:$C$4000,2,FALSE)</f>
        <v>3.1399999999999997E-2</v>
      </c>
      <c r="O226" s="45">
        <f t="shared" si="82"/>
        <v>280.5091864207364</v>
      </c>
      <c r="P226" s="34">
        <f>IF(L226="yes", 0, _xlfn.XLOOKUP(F226, 'GHG Emissions Factors'!$B$2:$B$4000, 'GHG Emissions Factors'!$D$2:$D$4000, 0))</f>
        <v>3.1399999999999997E-2</v>
      </c>
      <c r="Q226" s="46"/>
      <c r="R226" s="46"/>
      <c r="S226" s="46">
        <v>0</v>
      </c>
      <c r="T226" s="46"/>
      <c r="U226" s="46"/>
      <c r="V226" s="46"/>
      <c r="W226" s="46"/>
      <c r="X226" s="46"/>
      <c r="Y226" s="112">
        <f t="shared" si="83"/>
        <v>0</v>
      </c>
      <c r="Z226" s="150">
        <f t="shared" si="84"/>
        <v>0</v>
      </c>
      <c r="AA226" s="150">
        <f t="shared" si="85"/>
        <v>0</v>
      </c>
      <c r="AB226" s="113">
        <f t="shared" si="86"/>
        <v>8933.4135802782293</v>
      </c>
      <c r="AC226" s="36"/>
      <c r="AD226" s="272" t="str">
        <f t="shared" si="87"/>
        <v>Tacoma ACS Porfolio - Large Hydro</v>
      </c>
      <c r="AE226" s="273">
        <f t="shared" si="88"/>
        <v>0</v>
      </c>
      <c r="AF226" s="273">
        <f t="shared" si="89"/>
        <v>0</v>
      </c>
      <c r="AG226" s="273">
        <f t="shared" si="90"/>
        <v>0</v>
      </c>
      <c r="AH226" s="273">
        <f t="shared" si="91"/>
        <v>0</v>
      </c>
      <c r="AI226" s="273">
        <f t="shared" si="92"/>
        <v>0</v>
      </c>
      <c r="AJ226" s="273">
        <f t="shared" si="93"/>
        <v>0</v>
      </c>
      <c r="AK226" s="273">
        <f t="shared" si="94"/>
        <v>0</v>
      </c>
      <c r="AL226" s="274">
        <f t="shared" si="95"/>
        <v>0</v>
      </c>
      <c r="AN226" s="75" t="str">
        <f t="shared" si="96"/>
        <v>Tacoma ACS Porfolio - Large Hydro</v>
      </c>
      <c r="AO226" s="75" t="str">
        <f t="shared" si="97"/>
        <v>Large Hydroelectric</v>
      </c>
      <c r="AP226" s="48">
        <f t="shared" si="100"/>
        <v>8933.4135802782293</v>
      </c>
      <c r="AQ226" s="48">
        <f t="shared" si="98"/>
        <v>589.41635564380272</v>
      </c>
      <c r="AR226" s="49">
        <f t="shared" si="99"/>
        <v>280.5091864207364</v>
      </c>
    </row>
    <row r="227" spans="1:44" ht="15">
      <c r="A227" s="38" t="s">
        <v>4259</v>
      </c>
      <c r="B227" s="38" t="s">
        <v>32</v>
      </c>
      <c r="C227" s="38" t="s">
        <v>3968</v>
      </c>
      <c r="D227" s="38"/>
      <c r="E227" s="38"/>
      <c r="F227" s="38" t="s">
        <v>137</v>
      </c>
      <c r="G227" s="47">
        <f t="shared" si="81"/>
        <v>6.5978850116714893E-2</v>
      </c>
      <c r="H227" s="44">
        <v>713.09630983522993</v>
      </c>
      <c r="I227" s="44"/>
      <c r="J227" s="45">
        <f t="shared" si="80"/>
        <v>713.09630983522993</v>
      </c>
      <c r="K227" s="38"/>
      <c r="L227" s="38"/>
      <c r="M227" s="38"/>
      <c r="N227" s="34">
        <f>VLOOKUP(F227,'GHG Emissions Factors'!$B$2:$C$4000,2,FALSE)</f>
        <v>3.1399999999999997E-2</v>
      </c>
      <c r="O227" s="45">
        <f t="shared" si="82"/>
        <v>22.391224128826217</v>
      </c>
      <c r="P227" s="34">
        <f>IF(L227="yes", 0, _xlfn.XLOOKUP(F227, 'GHG Emissions Factors'!$B$2:$B$4000, 'GHG Emissions Factors'!$D$2:$D$4000, 0))</f>
        <v>3.1399999999999997E-2</v>
      </c>
      <c r="Q227" s="46"/>
      <c r="R227" s="46"/>
      <c r="S227" s="46">
        <v>0</v>
      </c>
      <c r="T227" s="46"/>
      <c r="U227" s="46"/>
      <c r="V227" s="46"/>
      <c r="W227" s="46"/>
      <c r="X227" s="46"/>
      <c r="Y227" s="112">
        <f t="shared" si="83"/>
        <v>0</v>
      </c>
      <c r="Z227" s="150">
        <f t="shared" si="84"/>
        <v>0</v>
      </c>
      <c r="AA227" s="150">
        <f t="shared" si="85"/>
        <v>0</v>
      </c>
      <c r="AB227" s="113">
        <f t="shared" si="86"/>
        <v>713.09630983522993</v>
      </c>
      <c r="AC227" s="36"/>
      <c r="AD227" s="272" t="str">
        <f t="shared" si="87"/>
        <v>Tacoma ACS Porfolio - Nuclear</v>
      </c>
      <c r="AE227" s="273">
        <f t="shared" si="88"/>
        <v>0</v>
      </c>
      <c r="AF227" s="273">
        <f t="shared" si="89"/>
        <v>0</v>
      </c>
      <c r="AG227" s="273">
        <f t="shared" si="90"/>
        <v>0</v>
      </c>
      <c r="AH227" s="273">
        <f t="shared" si="91"/>
        <v>0</v>
      </c>
      <c r="AI227" s="273">
        <f t="shared" si="92"/>
        <v>0</v>
      </c>
      <c r="AJ227" s="273">
        <f t="shared" si="93"/>
        <v>0</v>
      </c>
      <c r="AK227" s="273">
        <f t="shared" si="94"/>
        <v>0</v>
      </c>
      <c r="AL227" s="274">
        <f t="shared" si="95"/>
        <v>0</v>
      </c>
      <c r="AN227" s="75" t="str">
        <f t="shared" si="96"/>
        <v>Tacoma ACS Porfolio - Nuclear</v>
      </c>
      <c r="AO227" s="75" t="str">
        <f t="shared" si="97"/>
        <v>Nuclear</v>
      </c>
      <c r="AP227" s="48">
        <f t="shared" si="100"/>
        <v>713.09630983522993</v>
      </c>
      <c r="AQ227" s="48">
        <f t="shared" si="98"/>
        <v>47.049274545401119</v>
      </c>
      <c r="AR227" s="49">
        <f t="shared" si="99"/>
        <v>22.391224128826217</v>
      </c>
    </row>
    <row r="228" spans="1:44" ht="15">
      <c r="A228" s="38" t="s">
        <v>4260</v>
      </c>
      <c r="B228" s="38" t="s">
        <v>37</v>
      </c>
      <c r="C228" s="38" t="s">
        <v>3968</v>
      </c>
      <c r="D228" s="38"/>
      <c r="E228" s="38"/>
      <c r="F228" s="38" t="s">
        <v>137</v>
      </c>
      <c r="G228" s="47">
        <f t="shared" si="81"/>
        <v>6.5978850116714893E-2</v>
      </c>
      <c r="H228" s="44">
        <v>1216.7234098865399</v>
      </c>
      <c r="I228" s="44"/>
      <c r="J228" s="45">
        <f t="shared" si="80"/>
        <v>1216.7234098865399</v>
      </c>
      <c r="K228" s="38"/>
      <c r="L228" s="38"/>
      <c r="M228" s="38"/>
      <c r="N228" s="34">
        <f>VLOOKUP(F228,'GHG Emissions Factors'!$B$2:$C$4000,2,FALSE)</f>
        <v>3.1399999999999997E-2</v>
      </c>
      <c r="O228" s="45">
        <f t="shared" si="82"/>
        <v>38.205115070437351</v>
      </c>
      <c r="P228" s="34">
        <f>IF(L228="yes", 0, _xlfn.XLOOKUP(F228, 'GHG Emissions Factors'!$B$2:$B$4000, 'GHG Emissions Factors'!$D$2:$D$4000, 0))</f>
        <v>3.1399999999999997E-2</v>
      </c>
      <c r="Q228" s="46"/>
      <c r="R228" s="46"/>
      <c r="S228" s="46">
        <v>0</v>
      </c>
      <c r="T228" s="46"/>
      <c r="U228" s="46"/>
      <c r="V228" s="46"/>
      <c r="W228" s="46"/>
      <c r="X228" s="46"/>
      <c r="Y228" s="112">
        <f t="shared" si="83"/>
        <v>0</v>
      </c>
      <c r="Z228" s="150">
        <f t="shared" si="84"/>
        <v>0</v>
      </c>
      <c r="AA228" s="150">
        <f t="shared" si="85"/>
        <v>0</v>
      </c>
      <c r="AB228" s="113">
        <f t="shared" si="86"/>
        <v>1216.7234098865399</v>
      </c>
      <c r="AC228" s="36"/>
      <c r="AD228" s="272" t="str">
        <f t="shared" si="87"/>
        <v>Tacoma ACS Porfolio - Unspecified</v>
      </c>
      <c r="AE228" s="273">
        <f t="shared" si="88"/>
        <v>0</v>
      </c>
      <c r="AF228" s="273">
        <f t="shared" si="89"/>
        <v>0</v>
      </c>
      <c r="AG228" s="273">
        <f t="shared" si="90"/>
        <v>0</v>
      </c>
      <c r="AH228" s="273">
        <f t="shared" si="91"/>
        <v>0</v>
      </c>
      <c r="AI228" s="273">
        <f t="shared" si="92"/>
        <v>0</v>
      </c>
      <c r="AJ228" s="273">
        <f t="shared" si="93"/>
        <v>0</v>
      </c>
      <c r="AK228" s="273">
        <f t="shared" si="94"/>
        <v>0</v>
      </c>
      <c r="AL228" s="274">
        <f t="shared" si="95"/>
        <v>0</v>
      </c>
      <c r="AN228" s="75" t="str">
        <f t="shared" si="96"/>
        <v>Tacoma ACS Porfolio - Unspecified</v>
      </c>
      <c r="AO228" s="75" t="str">
        <f t="shared" si="97"/>
        <v>Unspecified Power - ACS</v>
      </c>
      <c r="AP228" s="48">
        <f t="shared" si="100"/>
        <v>1216.7234098865399</v>
      </c>
      <c r="AQ228" s="48">
        <f t="shared" si="98"/>
        <v>80.278011494402278</v>
      </c>
      <c r="AR228" s="49">
        <f t="shared" si="99"/>
        <v>38.205115070437351</v>
      </c>
    </row>
    <row r="229" spans="1:44" ht="15">
      <c r="A229" s="38" t="s">
        <v>4261</v>
      </c>
      <c r="B229" s="38" t="s">
        <v>4242</v>
      </c>
      <c r="C229" s="38" t="s">
        <v>3771</v>
      </c>
      <c r="D229" s="38"/>
      <c r="E229" s="38"/>
      <c r="F229" s="38">
        <v>454</v>
      </c>
      <c r="G229" s="47">
        <f t="shared" si="81"/>
        <v>4.3727031303423702E-2</v>
      </c>
      <c r="H229" s="44">
        <f>8909.8945993771+85312.8516901416</f>
        <v>94222.746289518705</v>
      </c>
      <c r="I229" s="44"/>
      <c r="J229" s="45">
        <f t="shared" si="80"/>
        <v>94222.746289518705</v>
      </c>
      <c r="K229" s="38"/>
      <c r="L229" s="38"/>
      <c r="M229" s="38"/>
      <c r="N229" s="34">
        <f>VLOOKUP(F229,'GHG Emissions Factors'!$B$2:$C$4000,2,FALSE)</f>
        <v>0</v>
      </c>
      <c r="O229" s="45">
        <f t="shared" si="82"/>
        <v>0</v>
      </c>
      <c r="P229" s="34">
        <f>IF(L229="yes", 0, _xlfn.XLOOKUP(F229, 'GHG Emissions Factors'!$B$2:$B$4000, 'GHG Emissions Factors'!$D$2:$D$4000, 0))</f>
        <v>0</v>
      </c>
      <c r="Q229" s="46"/>
      <c r="R229" s="46"/>
      <c r="S229" s="46">
        <f>ProcurementAllocationData[[#This Row],[Net MWhs Procured]]-(ProcurementAllocationData[[#This Row],[Deep Green]]+ProcurementAllocationData[[#This Row],[LocalSol]]+ProcurementAllocationData[[#This Row],[GreenAccess]])</f>
        <v>94222.746289518705</v>
      </c>
      <c r="T229" s="46"/>
      <c r="U229" s="46"/>
      <c r="V229" s="46"/>
      <c r="W229" s="46"/>
      <c r="X229" s="46"/>
      <c r="Y229" s="112">
        <f t="shared" si="83"/>
        <v>4120</v>
      </c>
      <c r="Z229" s="150">
        <f t="shared" si="84"/>
        <v>0</v>
      </c>
      <c r="AA229" s="150">
        <f t="shared" si="85"/>
        <v>4120</v>
      </c>
      <c r="AB229" s="113">
        <f t="shared" si="86"/>
        <v>0</v>
      </c>
      <c r="AC229" s="36"/>
      <c r="AD229" s="272" t="str">
        <f t="shared" si="87"/>
        <v>Colgate Powerhosue Unit 1</v>
      </c>
      <c r="AE229" s="273">
        <f t="shared" si="88"/>
        <v>0</v>
      </c>
      <c r="AF229" s="273">
        <f t="shared" si="89"/>
        <v>0</v>
      </c>
      <c r="AG229" s="273">
        <f t="shared" si="90"/>
        <v>0</v>
      </c>
      <c r="AH229" s="273">
        <f t="shared" si="91"/>
        <v>0</v>
      </c>
      <c r="AI229" s="273">
        <f t="shared" si="92"/>
        <v>0</v>
      </c>
      <c r="AJ229" s="273">
        <f t="shared" si="93"/>
        <v>0</v>
      </c>
      <c r="AK229" s="273">
        <f t="shared" si="94"/>
        <v>0</v>
      </c>
      <c r="AL229" s="274">
        <f t="shared" si="95"/>
        <v>0</v>
      </c>
      <c r="AN229" s="75" t="str">
        <f t="shared" si="96"/>
        <v>-</v>
      </c>
      <c r="AO229" s="75" t="str">
        <f t="shared" si="97"/>
        <v>-</v>
      </c>
      <c r="AP229" s="48">
        <f t="shared" si="100"/>
        <v>0</v>
      </c>
      <c r="AQ229" s="48">
        <f t="shared" si="98"/>
        <v>0</v>
      </c>
      <c r="AR229" s="49">
        <f t="shared" si="99"/>
        <v>0</v>
      </c>
    </row>
    <row r="230" spans="1:44" ht="15">
      <c r="A230" s="38" t="s">
        <v>4262</v>
      </c>
      <c r="B230" s="38" t="s">
        <v>4242</v>
      </c>
      <c r="C230" s="38" t="s">
        <v>3771</v>
      </c>
      <c r="D230" s="38"/>
      <c r="E230" s="38"/>
      <c r="F230" s="38">
        <v>454</v>
      </c>
      <c r="G230" s="47">
        <f t="shared" si="81"/>
        <v>4.3727031303423702E-2</v>
      </c>
      <c r="H230" s="44">
        <f>8893.6495101848+73225.0248839394</f>
        <v>82118.674394124202</v>
      </c>
      <c r="I230" s="44"/>
      <c r="J230" s="45">
        <f t="shared" si="80"/>
        <v>82118.674394124202</v>
      </c>
      <c r="K230" s="38"/>
      <c r="L230" s="38"/>
      <c r="M230" s="38"/>
      <c r="N230" s="34">
        <f>VLOOKUP(F230,'GHG Emissions Factors'!$B$2:$C$4000,2,FALSE)</f>
        <v>0</v>
      </c>
      <c r="O230" s="45">
        <f t="shared" si="82"/>
        <v>0</v>
      </c>
      <c r="P230" s="34">
        <f>IF(L230="yes", 0, _xlfn.XLOOKUP(F230, 'GHG Emissions Factors'!$B$2:$B$4000, 'GHG Emissions Factors'!$D$2:$D$4000, 0))</f>
        <v>0</v>
      </c>
      <c r="Q230" s="46"/>
      <c r="R230" s="46"/>
      <c r="S230" s="46">
        <f>ProcurementAllocationData[[#This Row],[Net MWhs Procured]]-(ProcurementAllocationData[[#This Row],[Deep Green]]+ProcurementAllocationData[[#This Row],[LocalSol]]+ProcurementAllocationData[[#This Row],[GreenAccess]])</f>
        <v>82118.674394124202</v>
      </c>
      <c r="T230" s="46"/>
      <c r="U230" s="46"/>
      <c r="V230" s="46"/>
      <c r="W230" s="46"/>
      <c r="X230" s="46"/>
      <c r="Y230" s="112">
        <f t="shared" si="83"/>
        <v>3591</v>
      </c>
      <c r="Z230" s="150">
        <f t="shared" si="84"/>
        <v>0</v>
      </c>
      <c r="AA230" s="150">
        <f t="shared" si="85"/>
        <v>3591</v>
      </c>
      <c r="AB230" s="113">
        <f t="shared" si="86"/>
        <v>0</v>
      </c>
      <c r="AC230" s="36"/>
      <c r="AD230" s="272" t="str">
        <f t="shared" si="87"/>
        <v>Colgate Powerhosue Unit 2</v>
      </c>
      <c r="AE230" s="273">
        <f t="shared" si="88"/>
        <v>0</v>
      </c>
      <c r="AF230" s="273">
        <f t="shared" si="89"/>
        <v>0</v>
      </c>
      <c r="AG230" s="273">
        <f t="shared" si="90"/>
        <v>0</v>
      </c>
      <c r="AH230" s="273">
        <f t="shared" si="91"/>
        <v>0</v>
      </c>
      <c r="AI230" s="273">
        <f t="shared" si="92"/>
        <v>0</v>
      </c>
      <c r="AJ230" s="273">
        <f t="shared" si="93"/>
        <v>0</v>
      </c>
      <c r="AK230" s="273">
        <f t="shared" si="94"/>
        <v>0</v>
      </c>
      <c r="AL230" s="274">
        <f t="shared" si="95"/>
        <v>0</v>
      </c>
      <c r="AN230" s="75" t="str">
        <f t="shared" si="96"/>
        <v>-</v>
      </c>
      <c r="AO230" s="75" t="str">
        <f t="shared" si="97"/>
        <v>-</v>
      </c>
      <c r="AP230" s="48">
        <f t="shared" si="100"/>
        <v>0</v>
      </c>
      <c r="AQ230" s="48">
        <f t="shared" si="98"/>
        <v>0</v>
      </c>
      <c r="AR230" s="49">
        <f t="shared" si="99"/>
        <v>0</v>
      </c>
    </row>
    <row r="231" spans="1:44" ht="15">
      <c r="A231" s="38" t="s">
        <v>4263</v>
      </c>
      <c r="B231" s="38" t="s">
        <v>4242</v>
      </c>
      <c r="C231" s="38" t="s">
        <v>3771</v>
      </c>
      <c r="D231" s="38"/>
      <c r="E231" s="38"/>
      <c r="F231" s="38">
        <v>455</v>
      </c>
      <c r="G231" s="47">
        <f t="shared" si="81"/>
        <v>4.3727031303423702E-2</v>
      </c>
      <c r="H231" s="44">
        <f>2142.6358904381+14190.1248284389</f>
        <v>16332.760718877</v>
      </c>
      <c r="I231" s="44"/>
      <c r="J231" s="45">
        <f t="shared" si="80"/>
        <v>16332.760718877</v>
      </c>
      <c r="K231" s="38"/>
      <c r="L231" s="38"/>
      <c r="M231" s="38"/>
      <c r="N231" s="34">
        <f>VLOOKUP(F231,'GHG Emissions Factors'!$B$2:$C$4000,2,FALSE)</f>
        <v>0</v>
      </c>
      <c r="O231" s="45">
        <f t="shared" si="82"/>
        <v>0</v>
      </c>
      <c r="P231" s="34">
        <f>IF(L231="yes", 0, _xlfn.XLOOKUP(F231, 'GHG Emissions Factors'!$B$2:$B$4000, 'GHG Emissions Factors'!$D$2:$D$4000, 0))</f>
        <v>0</v>
      </c>
      <c r="Q231" s="46"/>
      <c r="R231" s="46"/>
      <c r="S231" s="46">
        <f>ProcurementAllocationData[[#This Row],[Net MWhs Procured]]-(ProcurementAllocationData[[#This Row],[Deep Green]]+ProcurementAllocationData[[#This Row],[LocalSol]]+ProcurementAllocationData[[#This Row],[GreenAccess]])</f>
        <v>16332.760718877</v>
      </c>
      <c r="T231" s="46"/>
      <c r="U231" s="46"/>
      <c r="V231" s="46"/>
      <c r="W231" s="46"/>
      <c r="X231" s="46"/>
      <c r="Y231" s="112">
        <f t="shared" si="83"/>
        <v>714</v>
      </c>
      <c r="Z231" s="150">
        <f t="shared" si="84"/>
        <v>0</v>
      </c>
      <c r="AA231" s="150">
        <f t="shared" si="85"/>
        <v>714</v>
      </c>
      <c r="AB231" s="113">
        <f t="shared" si="86"/>
        <v>0</v>
      </c>
      <c r="AC231" s="36"/>
      <c r="AD231" s="272" t="str">
        <f t="shared" si="87"/>
        <v>Narrows 2</v>
      </c>
      <c r="AE231" s="273">
        <f t="shared" si="88"/>
        <v>0</v>
      </c>
      <c r="AF231" s="273">
        <f t="shared" si="89"/>
        <v>0</v>
      </c>
      <c r="AG231" s="273">
        <f t="shared" si="90"/>
        <v>0</v>
      </c>
      <c r="AH231" s="273">
        <f t="shared" si="91"/>
        <v>0</v>
      </c>
      <c r="AI231" s="273">
        <f t="shared" si="92"/>
        <v>0</v>
      </c>
      <c r="AJ231" s="273">
        <f t="shared" si="93"/>
        <v>0</v>
      </c>
      <c r="AK231" s="273">
        <f t="shared" si="94"/>
        <v>0</v>
      </c>
      <c r="AL231" s="274">
        <f t="shared" si="95"/>
        <v>0</v>
      </c>
      <c r="AN231" s="75" t="str">
        <f t="shared" si="96"/>
        <v>-</v>
      </c>
      <c r="AO231" s="75" t="str">
        <f t="shared" si="97"/>
        <v>-</v>
      </c>
      <c r="AP231" s="48">
        <f t="shared" si="100"/>
        <v>0</v>
      </c>
      <c r="AQ231" s="48">
        <f t="shared" si="98"/>
        <v>0</v>
      </c>
      <c r="AR231" s="49">
        <f t="shared" si="99"/>
        <v>0</v>
      </c>
    </row>
    <row r="232" spans="1:44" ht="15">
      <c r="A232" s="38" t="s">
        <v>4264</v>
      </c>
      <c r="B232" s="38" t="s">
        <v>38</v>
      </c>
      <c r="C232" s="38" t="s">
        <v>4265</v>
      </c>
      <c r="D232" s="38"/>
      <c r="E232" s="38"/>
      <c r="F232" s="38" t="s">
        <v>112</v>
      </c>
      <c r="G232" s="47">
        <f t="shared" si="81"/>
        <v>6.5978850116714893E-2</v>
      </c>
      <c r="H232" s="44">
        <v>102345</v>
      </c>
      <c r="I232" s="44"/>
      <c r="J232" s="45">
        <f t="shared" si="80"/>
        <v>102345</v>
      </c>
      <c r="K232" s="38"/>
      <c r="L232" s="38"/>
      <c r="M232" s="38"/>
      <c r="N232" s="34">
        <f>VLOOKUP(F232,'GHG Emissions Factors'!$B$2:$C$4000,2,FALSE)</f>
        <v>0.42799999999999999</v>
      </c>
      <c r="O232" s="45">
        <f t="shared" si="82"/>
        <v>43803.659999999996</v>
      </c>
      <c r="P232" s="34">
        <f>IF(L232="yes", 0, _xlfn.XLOOKUP(F232, 'GHG Emissions Factors'!$B$2:$B$4000, 'GHG Emissions Factors'!$D$2:$D$4000, 0))</f>
        <v>0.42799999999999999</v>
      </c>
      <c r="Q232" s="46"/>
      <c r="R232" s="46"/>
      <c r="S232" s="46">
        <v>0</v>
      </c>
      <c r="T232" s="46"/>
      <c r="U232" s="46"/>
      <c r="V232" s="46"/>
      <c r="W232" s="46"/>
      <c r="X232" s="46"/>
      <c r="Y232" s="112">
        <f t="shared" si="83"/>
        <v>0</v>
      </c>
      <c r="Z232" s="150">
        <f t="shared" si="84"/>
        <v>0</v>
      </c>
      <c r="AA232" s="150">
        <f t="shared" si="85"/>
        <v>0</v>
      </c>
      <c r="AB232" s="113">
        <f t="shared" si="86"/>
        <v>102345</v>
      </c>
      <c r="AC232" s="36"/>
      <c r="AD232" s="272" t="str">
        <f t="shared" si="87"/>
        <v>Dynasty Import RA Energy Volume - Unspecified</v>
      </c>
      <c r="AE232" s="273">
        <f t="shared" si="88"/>
        <v>0</v>
      </c>
      <c r="AF232" s="273">
        <f t="shared" si="89"/>
        <v>0</v>
      </c>
      <c r="AG232" s="273">
        <f t="shared" si="90"/>
        <v>0</v>
      </c>
      <c r="AH232" s="273">
        <f t="shared" si="91"/>
        <v>0</v>
      </c>
      <c r="AI232" s="273">
        <f t="shared" si="92"/>
        <v>0</v>
      </c>
      <c r="AJ232" s="273">
        <f t="shared" si="93"/>
        <v>0</v>
      </c>
      <c r="AK232" s="273">
        <f t="shared" si="94"/>
        <v>0</v>
      </c>
      <c r="AL232" s="274">
        <f t="shared" si="95"/>
        <v>0</v>
      </c>
      <c r="AN232" s="75" t="str">
        <f t="shared" si="96"/>
        <v>Dynasty Import RA Energy Volume - Unspecified</v>
      </c>
      <c r="AO232" s="75" t="str">
        <f t="shared" si="97"/>
        <v>Unspecified Power - Direct Import</v>
      </c>
      <c r="AP232" s="48">
        <f t="shared" si="100"/>
        <v>102345</v>
      </c>
      <c r="AQ232" s="48">
        <f t="shared" si="98"/>
        <v>6752.6054151951857</v>
      </c>
      <c r="AR232" s="49">
        <f t="shared" si="99"/>
        <v>43803.659999999996</v>
      </c>
    </row>
    <row r="233" spans="1:44" ht="15">
      <c r="A233" s="38" t="s">
        <v>4266</v>
      </c>
      <c r="B233" s="38" t="s">
        <v>4242</v>
      </c>
      <c r="C233" s="38" t="s">
        <v>4243</v>
      </c>
      <c r="D233" s="38"/>
      <c r="E233" s="38"/>
      <c r="F233" s="38" t="s">
        <v>3373</v>
      </c>
      <c r="G233" s="47">
        <f t="shared" si="81"/>
        <v>6.5978850116714893E-2</v>
      </c>
      <c r="H233" s="44">
        <v>767</v>
      </c>
      <c r="I233" s="44"/>
      <c r="J233" s="45">
        <f t="shared" si="80"/>
        <v>767</v>
      </c>
      <c r="K233" s="38"/>
      <c r="L233" s="38"/>
      <c r="M233" s="38"/>
      <c r="N233" s="34">
        <f>VLOOKUP(F233,'GHG Emissions Factors'!$B$2:$C$4000,2,FALSE)</f>
        <v>0</v>
      </c>
      <c r="O233" s="45">
        <f t="shared" si="82"/>
        <v>0</v>
      </c>
      <c r="P233" s="34">
        <f>IF(L233="yes", 0, _xlfn.XLOOKUP(F233, 'GHG Emissions Factors'!$B$2:$B$4000, 'GHG Emissions Factors'!$D$2:$D$4000, 0))</f>
        <v>0</v>
      </c>
      <c r="Q233" s="46"/>
      <c r="R233" s="46"/>
      <c r="S233" s="46">
        <f>ProcurementAllocationData[[#This Row],[Net MWhs Procured]]-(ProcurementAllocationData[[#This Row],[Deep Green]]+ProcurementAllocationData[[#This Row],[LocalSol]]+ProcurementAllocationData[[#This Row],[GreenAccess]])</f>
        <v>767</v>
      </c>
      <c r="T233" s="46"/>
      <c r="U233" s="46"/>
      <c r="V233" s="46"/>
      <c r="W233" s="46"/>
      <c r="X233" s="46"/>
      <c r="Y233" s="112">
        <f t="shared" si="83"/>
        <v>51</v>
      </c>
      <c r="Z233" s="150">
        <f t="shared" si="84"/>
        <v>0</v>
      </c>
      <c r="AA233" s="150">
        <f t="shared" si="85"/>
        <v>51</v>
      </c>
      <c r="AB233" s="113">
        <f t="shared" si="86"/>
        <v>0</v>
      </c>
      <c r="AC233" s="36"/>
      <c r="AD233" s="272" t="str">
        <f t="shared" si="87"/>
        <v>G.M. Shrum Hydroelectric Generation Facility</v>
      </c>
      <c r="AE233" s="273">
        <f t="shared" si="88"/>
        <v>0</v>
      </c>
      <c r="AF233" s="273">
        <f t="shared" si="89"/>
        <v>0</v>
      </c>
      <c r="AG233" s="273">
        <f t="shared" si="90"/>
        <v>0</v>
      </c>
      <c r="AH233" s="273">
        <f t="shared" si="91"/>
        <v>0</v>
      </c>
      <c r="AI233" s="273">
        <f t="shared" si="92"/>
        <v>0</v>
      </c>
      <c r="AJ233" s="273">
        <f t="shared" si="93"/>
        <v>0</v>
      </c>
      <c r="AK233" s="273">
        <f t="shared" si="94"/>
        <v>0</v>
      </c>
      <c r="AL233" s="274">
        <f t="shared" si="95"/>
        <v>0</v>
      </c>
      <c r="AN233" s="75" t="str">
        <f t="shared" si="96"/>
        <v>-</v>
      </c>
      <c r="AO233" s="75" t="str">
        <f t="shared" si="97"/>
        <v>-</v>
      </c>
      <c r="AP233" s="48">
        <f t="shared" si="100"/>
        <v>0</v>
      </c>
      <c r="AQ233" s="48">
        <f t="shared" si="98"/>
        <v>0</v>
      </c>
      <c r="AR233" s="49">
        <f t="shared" si="99"/>
        <v>0</v>
      </c>
    </row>
    <row r="234" spans="1:44" ht="15">
      <c r="A234" s="38" t="s">
        <v>4267</v>
      </c>
      <c r="B234" s="38" t="s">
        <v>4242</v>
      </c>
      <c r="C234" s="38" t="s">
        <v>4243</v>
      </c>
      <c r="D234" s="38"/>
      <c r="E234" s="38"/>
      <c r="F234" s="38" t="s">
        <v>3379</v>
      </c>
      <c r="G234" s="47">
        <f t="shared" si="81"/>
        <v>6.5978850116714893E-2</v>
      </c>
      <c r="H234" s="44">
        <v>1233</v>
      </c>
      <c r="I234" s="44"/>
      <c r="J234" s="45">
        <f t="shared" si="80"/>
        <v>1233</v>
      </c>
      <c r="K234" s="38"/>
      <c r="L234" s="38"/>
      <c r="M234" s="38"/>
      <c r="N234" s="34">
        <f>VLOOKUP(F234,'GHG Emissions Factors'!$B$2:$C$4000,2,FALSE)</f>
        <v>0</v>
      </c>
      <c r="O234" s="45">
        <f t="shared" si="82"/>
        <v>0</v>
      </c>
      <c r="P234" s="34">
        <f>IF(L234="yes", 0, _xlfn.XLOOKUP(F234, 'GHG Emissions Factors'!$B$2:$B$4000, 'GHG Emissions Factors'!$D$2:$D$4000, 0))</f>
        <v>0</v>
      </c>
      <c r="Q234" s="46"/>
      <c r="R234" s="46"/>
      <c r="S234" s="46">
        <f>ProcurementAllocationData[[#This Row],[Net MWhs Procured]]-(ProcurementAllocationData[[#This Row],[Deep Green]]+ProcurementAllocationData[[#This Row],[LocalSol]]+ProcurementAllocationData[[#This Row],[GreenAccess]])</f>
        <v>1233</v>
      </c>
      <c r="T234" s="46"/>
      <c r="U234" s="46"/>
      <c r="V234" s="46"/>
      <c r="W234" s="46"/>
      <c r="X234" s="46"/>
      <c r="Y234" s="112">
        <f t="shared" si="83"/>
        <v>81</v>
      </c>
      <c r="Z234" s="150">
        <f t="shared" si="84"/>
        <v>0</v>
      </c>
      <c r="AA234" s="150">
        <f t="shared" si="85"/>
        <v>81</v>
      </c>
      <c r="AB234" s="113">
        <f t="shared" si="86"/>
        <v>0</v>
      </c>
      <c r="AC234" s="36"/>
      <c r="AD234" s="272" t="str">
        <f t="shared" si="87"/>
        <v>Mica Hydroelectric Generation Facility</v>
      </c>
      <c r="AE234" s="273">
        <f t="shared" si="88"/>
        <v>0</v>
      </c>
      <c r="AF234" s="273">
        <f t="shared" si="89"/>
        <v>0</v>
      </c>
      <c r="AG234" s="273">
        <f t="shared" si="90"/>
        <v>0</v>
      </c>
      <c r="AH234" s="273">
        <f t="shared" si="91"/>
        <v>0</v>
      </c>
      <c r="AI234" s="273">
        <f t="shared" si="92"/>
        <v>0</v>
      </c>
      <c r="AJ234" s="273">
        <f t="shared" si="93"/>
        <v>0</v>
      </c>
      <c r="AK234" s="273">
        <f t="shared" si="94"/>
        <v>0</v>
      </c>
      <c r="AL234" s="274">
        <f t="shared" si="95"/>
        <v>0</v>
      </c>
      <c r="AN234" s="75" t="str">
        <f t="shared" si="96"/>
        <v>-</v>
      </c>
      <c r="AO234" s="75" t="str">
        <f t="shared" si="97"/>
        <v>-</v>
      </c>
      <c r="AP234" s="48">
        <f t="shared" si="100"/>
        <v>0</v>
      </c>
      <c r="AQ234" s="48">
        <f t="shared" si="98"/>
        <v>0</v>
      </c>
      <c r="AR234" s="49">
        <f t="shared" si="99"/>
        <v>0</v>
      </c>
    </row>
    <row r="235" spans="1:44" ht="15">
      <c r="A235" s="38" t="s">
        <v>4268</v>
      </c>
      <c r="B235" s="38" t="s">
        <v>31</v>
      </c>
      <c r="C235" s="38" t="s">
        <v>3968</v>
      </c>
      <c r="D235" s="38"/>
      <c r="E235" s="38"/>
      <c r="F235" s="38">
        <v>6200</v>
      </c>
      <c r="G235" s="47">
        <f t="shared" si="81"/>
        <v>6.5978850116714893E-2</v>
      </c>
      <c r="H235" s="44">
        <v>50000</v>
      </c>
      <c r="I235" s="44"/>
      <c r="J235" s="45">
        <f t="shared" si="80"/>
        <v>50000</v>
      </c>
      <c r="K235" s="38"/>
      <c r="L235" s="38"/>
      <c r="M235" s="38"/>
      <c r="N235" s="34">
        <f>VLOOKUP(F235,'GHG Emissions Factors'!$B$2:$C$4000,2,FALSE)</f>
        <v>0</v>
      </c>
      <c r="O235" s="45">
        <f t="shared" si="82"/>
        <v>0</v>
      </c>
      <c r="P235" s="34">
        <f>IF(L235="yes", 0, _xlfn.XLOOKUP(F235, 'GHG Emissions Factors'!$B$2:$B$4000, 'GHG Emissions Factors'!$D$2:$D$4000, 0))</f>
        <v>0</v>
      </c>
      <c r="Q235" s="46"/>
      <c r="R235" s="46"/>
      <c r="S235" s="46">
        <v>0</v>
      </c>
      <c r="T235" s="46"/>
      <c r="U235" s="46"/>
      <c r="V235" s="46"/>
      <c r="W235" s="46"/>
      <c r="X235" s="46"/>
      <c r="Y235" s="112">
        <f t="shared" si="83"/>
        <v>0</v>
      </c>
      <c r="Z235" s="150">
        <f t="shared" si="84"/>
        <v>0</v>
      </c>
      <c r="AA235" s="150">
        <f t="shared" si="85"/>
        <v>0</v>
      </c>
      <c r="AB235" s="113">
        <f t="shared" si="86"/>
        <v>50000</v>
      </c>
      <c r="AC235" s="36"/>
      <c r="AD235" s="272" t="str">
        <f t="shared" si="87"/>
        <v>Mid-C Hydro Rock Island (County PUD)</v>
      </c>
      <c r="AE235" s="273">
        <f t="shared" si="88"/>
        <v>0</v>
      </c>
      <c r="AF235" s="273">
        <f t="shared" si="89"/>
        <v>0</v>
      </c>
      <c r="AG235" s="273">
        <f t="shared" si="90"/>
        <v>0</v>
      </c>
      <c r="AH235" s="273">
        <f t="shared" si="91"/>
        <v>0</v>
      </c>
      <c r="AI235" s="273">
        <f t="shared" si="92"/>
        <v>0</v>
      </c>
      <c r="AJ235" s="273">
        <f t="shared" si="93"/>
        <v>0</v>
      </c>
      <c r="AK235" s="273">
        <f t="shared" si="94"/>
        <v>0</v>
      </c>
      <c r="AL235" s="274">
        <f t="shared" si="95"/>
        <v>0</v>
      </c>
      <c r="AN235" s="75" t="str">
        <f t="shared" si="96"/>
        <v>Mid-C Hydro Rock Island (County PUD)</v>
      </c>
      <c r="AO235" s="75" t="str">
        <f t="shared" si="97"/>
        <v>Large Hydroelectric</v>
      </c>
      <c r="AP235" s="48">
        <f t="shared" si="100"/>
        <v>50000</v>
      </c>
      <c r="AQ235" s="48">
        <f t="shared" si="98"/>
        <v>3298.9425058357447</v>
      </c>
      <c r="AR235" s="49">
        <f t="shared" si="99"/>
        <v>0</v>
      </c>
    </row>
    <row r="236" spans="1:44" ht="15">
      <c r="A236" s="38" t="s">
        <v>4269</v>
      </c>
      <c r="B236" s="38" t="s">
        <v>4242</v>
      </c>
      <c r="C236" s="38" t="s">
        <v>3968</v>
      </c>
      <c r="D236" s="38"/>
      <c r="E236" s="38"/>
      <c r="F236" s="38">
        <v>3891</v>
      </c>
      <c r="G236" s="47">
        <f t="shared" si="81"/>
        <v>6.5978850116714893E-2</v>
      </c>
      <c r="H236" s="44">
        <v>4893</v>
      </c>
      <c r="I236" s="44"/>
      <c r="J236" s="45">
        <f t="shared" si="80"/>
        <v>4893</v>
      </c>
      <c r="K236" s="38"/>
      <c r="L236" s="38"/>
      <c r="M236" s="38"/>
      <c r="N236" s="34">
        <f>VLOOKUP(F236,'GHG Emissions Factors'!$B$2:$C$4000,2,FALSE)</f>
        <v>0</v>
      </c>
      <c r="O236" s="45">
        <f t="shared" si="82"/>
        <v>0</v>
      </c>
      <c r="P236" s="34">
        <f>IF(L236="yes", 0, _xlfn.XLOOKUP(F236, 'GHG Emissions Factors'!$B$2:$B$4000, 'GHG Emissions Factors'!$D$2:$D$4000, 0))</f>
        <v>0</v>
      </c>
      <c r="Q236" s="46"/>
      <c r="R236" s="46"/>
      <c r="S236" s="46">
        <f>ProcurementAllocationData[[#This Row],[Net MWhs Procured]]-(ProcurementAllocationData[[#This Row],[Deep Green]]+ProcurementAllocationData[[#This Row],[LocalSol]]+ProcurementAllocationData[[#This Row],[GreenAccess]])</f>
        <v>4893</v>
      </c>
      <c r="T236" s="46"/>
      <c r="U236" s="46"/>
      <c r="V236" s="46"/>
      <c r="W236" s="46"/>
      <c r="X236" s="46"/>
      <c r="Y236" s="112">
        <f t="shared" si="83"/>
        <v>323</v>
      </c>
      <c r="Z236" s="150">
        <f t="shared" si="84"/>
        <v>0</v>
      </c>
      <c r="AA236" s="150">
        <f t="shared" si="85"/>
        <v>323</v>
      </c>
      <c r="AB236" s="113">
        <f t="shared" si="86"/>
        <v>0</v>
      </c>
      <c r="AC236" s="36"/>
      <c r="AD236" s="272" t="str">
        <f t="shared" si="87"/>
        <v>Box Canyon</v>
      </c>
      <c r="AE236" s="273">
        <f t="shared" si="88"/>
        <v>0</v>
      </c>
      <c r="AF236" s="273">
        <f t="shared" si="89"/>
        <v>0</v>
      </c>
      <c r="AG236" s="273">
        <f t="shared" si="90"/>
        <v>0</v>
      </c>
      <c r="AH236" s="273">
        <f t="shared" si="91"/>
        <v>0</v>
      </c>
      <c r="AI236" s="273">
        <f t="shared" si="92"/>
        <v>0</v>
      </c>
      <c r="AJ236" s="273">
        <f t="shared" si="93"/>
        <v>0</v>
      </c>
      <c r="AK236" s="273">
        <f t="shared" si="94"/>
        <v>0</v>
      </c>
      <c r="AL236" s="274">
        <f t="shared" si="95"/>
        <v>0</v>
      </c>
      <c r="AN236" s="75" t="str">
        <f t="shared" si="96"/>
        <v>-</v>
      </c>
      <c r="AO236" s="75" t="str">
        <f t="shared" si="97"/>
        <v>-</v>
      </c>
      <c r="AP236" s="48">
        <f t="shared" si="100"/>
        <v>0</v>
      </c>
      <c r="AQ236" s="48">
        <f t="shared" si="98"/>
        <v>0</v>
      </c>
      <c r="AR236" s="49">
        <f t="shared" si="99"/>
        <v>0</v>
      </c>
    </row>
    <row r="237" spans="1:44" ht="15">
      <c r="A237" s="38" t="s">
        <v>4270</v>
      </c>
      <c r="B237" s="38" t="s">
        <v>31</v>
      </c>
      <c r="C237" s="38" t="s">
        <v>3968</v>
      </c>
      <c r="D237" s="38"/>
      <c r="E237" s="38"/>
      <c r="F237" s="38">
        <v>6424</v>
      </c>
      <c r="G237" s="47">
        <f t="shared" si="81"/>
        <v>6.5978850116714893E-2</v>
      </c>
      <c r="H237" s="44">
        <f>296+38</f>
        <v>334</v>
      </c>
      <c r="I237" s="44"/>
      <c r="J237" s="45">
        <f t="shared" si="80"/>
        <v>334</v>
      </c>
      <c r="K237" s="38"/>
      <c r="L237" s="38"/>
      <c r="M237" s="38"/>
      <c r="N237" s="34">
        <f>VLOOKUP(F237,'GHG Emissions Factors'!$B$2:$C$4000,2,FALSE)</f>
        <v>0</v>
      </c>
      <c r="O237" s="45">
        <f t="shared" si="82"/>
        <v>0</v>
      </c>
      <c r="P237" s="34">
        <f>IF(L237="yes", 0, _xlfn.XLOOKUP(F237, 'GHG Emissions Factors'!$B$2:$B$4000, 'GHG Emissions Factors'!$D$2:$D$4000, 0))</f>
        <v>0</v>
      </c>
      <c r="Q237" s="46"/>
      <c r="R237" s="46"/>
      <c r="S237" s="46">
        <f>ProcurementAllocationData[[#This Row],[Net MWhs Procured]]-(ProcurementAllocationData[[#This Row],[Deep Green]]+ProcurementAllocationData[[#This Row],[LocalSol]]+ProcurementAllocationData[[#This Row],[GreenAccess]])</f>
        <v>334</v>
      </c>
      <c r="T237" s="46"/>
      <c r="U237" s="46"/>
      <c r="V237" s="46"/>
      <c r="W237" s="46"/>
      <c r="X237" s="46"/>
      <c r="Y237" s="112">
        <f t="shared" si="83"/>
        <v>22</v>
      </c>
      <c r="Z237" s="150">
        <f t="shared" si="84"/>
        <v>0</v>
      </c>
      <c r="AA237" s="150">
        <f t="shared" si="85"/>
        <v>22</v>
      </c>
      <c r="AB237" s="113">
        <f t="shared" si="86"/>
        <v>0</v>
      </c>
      <c r="AC237" s="36"/>
      <c r="AD237" s="272" t="str">
        <f t="shared" si="87"/>
        <v>CHPD - Rocky Reach &amp; Rock Island</v>
      </c>
      <c r="AE237" s="273">
        <f t="shared" si="88"/>
        <v>0</v>
      </c>
      <c r="AF237" s="273">
        <f t="shared" si="89"/>
        <v>0</v>
      </c>
      <c r="AG237" s="273">
        <f t="shared" si="90"/>
        <v>0</v>
      </c>
      <c r="AH237" s="273">
        <f t="shared" si="91"/>
        <v>0</v>
      </c>
      <c r="AI237" s="273">
        <f t="shared" si="92"/>
        <v>0</v>
      </c>
      <c r="AJ237" s="273">
        <f t="shared" si="93"/>
        <v>0</v>
      </c>
      <c r="AK237" s="273">
        <f t="shared" si="94"/>
        <v>0</v>
      </c>
      <c r="AL237" s="274">
        <f t="shared" si="95"/>
        <v>0</v>
      </c>
      <c r="AN237" s="75" t="str">
        <f t="shared" si="96"/>
        <v>-</v>
      </c>
      <c r="AO237" s="75" t="str">
        <f t="shared" si="97"/>
        <v>-</v>
      </c>
      <c r="AP237" s="48">
        <f t="shared" si="100"/>
        <v>0</v>
      </c>
      <c r="AQ237" s="48">
        <f t="shared" si="98"/>
        <v>0</v>
      </c>
      <c r="AR237" s="49">
        <f t="shared" si="99"/>
        <v>0</v>
      </c>
    </row>
    <row r="238" spans="1:44" ht="15">
      <c r="A238" s="38"/>
      <c r="B238" s="38"/>
      <c r="C238" s="38"/>
      <c r="D238" s="38"/>
      <c r="E238" s="38"/>
      <c r="F238" s="38"/>
      <c r="G238" s="47">
        <f t="shared" si="81"/>
        <v>6.5978850116714893E-2</v>
      </c>
      <c r="H238" s="44"/>
      <c r="I238" s="44"/>
      <c r="J238" s="45">
        <f t="shared" si="80"/>
        <v>0</v>
      </c>
      <c r="K238" s="38"/>
      <c r="L238" s="38"/>
      <c r="M238" s="38"/>
      <c r="N238" s="34" t="e">
        <f>VLOOKUP(F238,'GHG Emissions Factors'!$B$2:$C$4000,2,FALSE)</f>
        <v>#N/A</v>
      </c>
      <c r="O238" s="45" t="e">
        <f t="shared" si="82"/>
        <v>#N/A</v>
      </c>
      <c r="P238" s="34">
        <f>IF(L238="yes", 0, _xlfn.XLOOKUP(F238, 'GHG Emissions Factors'!$B$2:$B$4000, 'GHG Emissions Factors'!$D$2:$D$4000, 0))</f>
        <v>0</v>
      </c>
      <c r="Q238" s="46"/>
      <c r="R238" s="46"/>
      <c r="S238" s="46">
        <f>ProcurementAllocationData[[#This Row],[Net MWhs Procured]]-(ProcurementAllocationData[[#This Row],[Deep Green]]+ProcurementAllocationData[[#This Row],[LocalSol]]+ProcurementAllocationData[[#This Row],[GreenAccess]])</f>
        <v>0</v>
      </c>
      <c r="T238" s="46"/>
      <c r="U238" s="46"/>
      <c r="V238" s="46"/>
      <c r="W238" s="46"/>
      <c r="X238" s="46"/>
      <c r="Y238" s="112">
        <f t="shared" si="83"/>
        <v>0</v>
      </c>
      <c r="Z238" s="150">
        <f t="shared" si="84"/>
        <v>0</v>
      </c>
      <c r="AA238" s="150">
        <f t="shared" si="85"/>
        <v>0</v>
      </c>
      <c r="AB238" s="113">
        <f t="shared" si="86"/>
        <v>0</v>
      </c>
      <c r="AC238" s="36"/>
      <c r="AD238" s="272" t="str">
        <f t="shared" si="87"/>
        <v/>
      </c>
      <c r="AE238" s="273">
        <f t="shared" si="88"/>
        <v>0</v>
      </c>
      <c r="AF238" s="273">
        <f t="shared" si="89"/>
        <v>0</v>
      </c>
      <c r="AG238" s="273">
        <f t="shared" si="90"/>
        <v>0</v>
      </c>
      <c r="AH238" s="273">
        <f t="shared" si="91"/>
        <v>0</v>
      </c>
      <c r="AI238" s="273">
        <f t="shared" si="92"/>
        <v>0</v>
      </c>
      <c r="AJ238" s="273">
        <f t="shared" si="93"/>
        <v>0</v>
      </c>
      <c r="AK238" s="273">
        <f t="shared" si="94"/>
        <v>0</v>
      </c>
      <c r="AL238" s="274">
        <f t="shared" si="95"/>
        <v>0</v>
      </c>
      <c r="AN238" s="75" t="str">
        <f t="shared" si="96"/>
        <v>-</v>
      </c>
      <c r="AO238" s="75" t="str">
        <f t="shared" si="97"/>
        <v>-</v>
      </c>
      <c r="AP238" s="48">
        <f t="shared" si="100"/>
        <v>0</v>
      </c>
      <c r="AQ238" s="48">
        <f t="shared" si="98"/>
        <v>0</v>
      </c>
      <c r="AR238" s="49" t="e">
        <f t="shared" si="99"/>
        <v>#N/A</v>
      </c>
    </row>
    <row r="239" spans="1:44" ht="15">
      <c r="A239" s="38"/>
      <c r="B239" s="38"/>
      <c r="C239" s="38"/>
      <c r="D239" s="38"/>
      <c r="E239" s="38"/>
      <c r="F239" s="38"/>
      <c r="G239" s="47">
        <f t="shared" si="81"/>
        <v>6.5978850116714893E-2</v>
      </c>
      <c r="H239" s="44"/>
      <c r="I239" s="44"/>
      <c r="J239" s="45">
        <f t="shared" si="80"/>
        <v>0</v>
      </c>
      <c r="K239" s="38"/>
      <c r="L239" s="38"/>
      <c r="M239" s="38"/>
      <c r="N239" s="34" t="e">
        <f>VLOOKUP(F239,'GHG Emissions Factors'!$B$2:$C$4000,2,FALSE)</f>
        <v>#N/A</v>
      </c>
      <c r="O239" s="45" t="e">
        <f t="shared" si="82"/>
        <v>#N/A</v>
      </c>
      <c r="P239" s="34">
        <f>IF(L239="yes", 0, _xlfn.XLOOKUP(F239, 'GHG Emissions Factors'!$B$2:$B$4000, 'GHG Emissions Factors'!$D$2:$D$4000, 0))</f>
        <v>0</v>
      </c>
      <c r="Q239" s="46"/>
      <c r="R239" s="46"/>
      <c r="S239" s="46">
        <f>ProcurementAllocationData[[#This Row],[Net MWhs Procured]]-(ProcurementAllocationData[[#This Row],[Deep Green]]+ProcurementAllocationData[[#This Row],[LocalSol]]+ProcurementAllocationData[[#This Row],[GreenAccess]])</f>
        <v>0</v>
      </c>
      <c r="T239" s="46"/>
      <c r="U239" s="46"/>
      <c r="V239" s="46"/>
      <c r="W239" s="46"/>
      <c r="X239" s="46"/>
      <c r="Y239" s="112">
        <f t="shared" si="83"/>
        <v>0</v>
      </c>
      <c r="Z239" s="150">
        <f t="shared" si="84"/>
        <v>0</v>
      </c>
      <c r="AA239" s="150">
        <f t="shared" si="85"/>
        <v>0</v>
      </c>
      <c r="AB239" s="113">
        <f t="shared" si="86"/>
        <v>0</v>
      </c>
      <c r="AC239" s="36"/>
      <c r="AD239" s="272" t="str">
        <f t="shared" si="87"/>
        <v/>
      </c>
      <c r="AE239" s="273">
        <f t="shared" si="88"/>
        <v>0</v>
      </c>
      <c r="AF239" s="273">
        <f t="shared" si="89"/>
        <v>0</v>
      </c>
      <c r="AG239" s="273">
        <f t="shared" si="90"/>
        <v>0</v>
      </c>
      <c r="AH239" s="273">
        <f t="shared" si="91"/>
        <v>0</v>
      </c>
      <c r="AI239" s="273">
        <f t="shared" si="92"/>
        <v>0</v>
      </c>
      <c r="AJ239" s="273">
        <f t="shared" si="93"/>
        <v>0</v>
      </c>
      <c r="AK239" s="273">
        <f t="shared" si="94"/>
        <v>0</v>
      </c>
      <c r="AL239" s="274">
        <f t="shared" si="95"/>
        <v>0</v>
      </c>
      <c r="AN239" s="75" t="str">
        <f t="shared" si="96"/>
        <v>-</v>
      </c>
      <c r="AO239" s="75" t="str">
        <f t="shared" si="97"/>
        <v>-</v>
      </c>
      <c r="AP239" s="48">
        <f t="shared" si="100"/>
        <v>0</v>
      </c>
      <c r="AQ239" s="48">
        <f t="shared" si="98"/>
        <v>0</v>
      </c>
      <c r="AR239" s="49" t="e">
        <f t="shared" si="99"/>
        <v>#N/A</v>
      </c>
    </row>
    <row r="240" spans="1:44" ht="15">
      <c r="A240" s="38"/>
      <c r="B240" s="38"/>
      <c r="C240" s="38"/>
      <c r="D240" s="38"/>
      <c r="E240" s="38"/>
      <c r="F240" s="38"/>
      <c r="G240" s="47">
        <f t="shared" si="81"/>
        <v>6.5978850116714893E-2</v>
      </c>
      <c r="H240" s="44"/>
      <c r="I240" s="44"/>
      <c r="J240" s="45">
        <f t="shared" si="80"/>
        <v>0</v>
      </c>
      <c r="K240" s="38"/>
      <c r="L240" s="38"/>
      <c r="M240" s="38"/>
      <c r="N240" s="34" t="e">
        <f>VLOOKUP(F240,'GHG Emissions Factors'!$B$2:$C$4000,2,FALSE)</f>
        <v>#N/A</v>
      </c>
      <c r="O240" s="45" t="e">
        <f t="shared" si="82"/>
        <v>#N/A</v>
      </c>
      <c r="P240" s="34">
        <f>IF(L240="yes", 0, _xlfn.XLOOKUP(F240, 'GHG Emissions Factors'!$B$2:$B$4000, 'GHG Emissions Factors'!$D$2:$D$4000, 0))</f>
        <v>0</v>
      </c>
      <c r="Q240" s="46"/>
      <c r="R240" s="46"/>
      <c r="S240" s="46">
        <f>ProcurementAllocationData[[#This Row],[Net MWhs Procured]]-(ProcurementAllocationData[[#This Row],[Deep Green]]+ProcurementAllocationData[[#This Row],[LocalSol]]+ProcurementAllocationData[[#This Row],[GreenAccess]])</f>
        <v>0</v>
      </c>
      <c r="T240" s="46"/>
      <c r="U240" s="46"/>
      <c r="V240" s="46"/>
      <c r="W240" s="46"/>
      <c r="X240" s="46"/>
      <c r="Y240" s="112">
        <f t="shared" si="83"/>
        <v>0</v>
      </c>
      <c r="Z240" s="150">
        <f t="shared" si="84"/>
        <v>0</v>
      </c>
      <c r="AA240" s="150">
        <f t="shared" si="85"/>
        <v>0</v>
      </c>
      <c r="AB240" s="113">
        <f t="shared" si="86"/>
        <v>0</v>
      </c>
      <c r="AC240" s="36"/>
      <c r="AD240" s="272" t="str">
        <f t="shared" si="87"/>
        <v/>
      </c>
      <c r="AE240" s="273">
        <f t="shared" si="88"/>
        <v>0</v>
      </c>
      <c r="AF240" s="273">
        <f t="shared" si="89"/>
        <v>0</v>
      </c>
      <c r="AG240" s="273">
        <f t="shared" si="90"/>
        <v>0</v>
      </c>
      <c r="AH240" s="273">
        <f t="shared" si="91"/>
        <v>0</v>
      </c>
      <c r="AI240" s="273">
        <f t="shared" si="92"/>
        <v>0</v>
      </c>
      <c r="AJ240" s="273">
        <f t="shared" si="93"/>
        <v>0</v>
      </c>
      <c r="AK240" s="273">
        <f t="shared" si="94"/>
        <v>0</v>
      </c>
      <c r="AL240" s="274">
        <f t="shared" si="95"/>
        <v>0</v>
      </c>
      <c r="AN240" s="75" t="str">
        <f t="shared" si="96"/>
        <v>-</v>
      </c>
      <c r="AO240" s="75" t="str">
        <f t="shared" si="97"/>
        <v>-</v>
      </c>
      <c r="AP240" s="48">
        <f t="shared" si="100"/>
        <v>0</v>
      </c>
      <c r="AQ240" s="48">
        <f t="shared" si="98"/>
        <v>0</v>
      </c>
      <c r="AR240" s="49" t="e">
        <f t="shared" si="99"/>
        <v>#N/A</v>
      </c>
    </row>
    <row r="241" spans="1:44" ht="15">
      <c r="A241" s="38"/>
      <c r="B241" s="38"/>
      <c r="C241" s="38"/>
      <c r="D241" s="38"/>
      <c r="E241" s="38"/>
      <c r="F241" s="38"/>
      <c r="G241" s="47">
        <f t="shared" si="81"/>
        <v>6.5978850116714893E-2</v>
      </c>
      <c r="H241" s="44"/>
      <c r="I241" s="44"/>
      <c r="J241" s="45">
        <f t="shared" si="80"/>
        <v>0</v>
      </c>
      <c r="K241" s="38"/>
      <c r="L241" s="38"/>
      <c r="M241" s="38"/>
      <c r="N241" s="34" t="e">
        <f>VLOOKUP(F241,'GHG Emissions Factors'!$B$2:$C$4000,2,FALSE)</f>
        <v>#N/A</v>
      </c>
      <c r="O241" s="45" t="e">
        <f t="shared" si="82"/>
        <v>#N/A</v>
      </c>
      <c r="P241" s="34">
        <f>IF(L241="yes", 0, _xlfn.XLOOKUP(F241, 'GHG Emissions Factors'!$B$2:$B$4000, 'GHG Emissions Factors'!$D$2:$D$4000, 0))</f>
        <v>0</v>
      </c>
      <c r="Q241" s="46"/>
      <c r="R241" s="46"/>
      <c r="S241" s="46">
        <f>ProcurementAllocationData[[#This Row],[Net MWhs Procured]]-(ProcurementAllocationData[[#This Row],[Deep Green]]+ProcurementAllocationData[[#This Row],[LocalSol]]+ProcurementAllocationData[[#This Row],[GreenAccess]])</f>
        <v>0</v>
      </c>
      <c r="T241" s="46"/>
      <c r="U241" s="46"/>
      <c r="V241" s="46"/>
      <c r="W241" s="46"/>
      <c r="X241" s="46"/>
      <c r="Y241" s="112">
        <f t="shared" si="83"/>
        <v>0</v>
      </c>
      <c r="Z241" s="150">
        <f t="shared" si="84"/>
        <v>0</v>
      </c>
      <c r="AA241" s="150">
        <f t="shared" si="85"/>
        <v>0</v>
      </c>
      <c r="AB241" s="113">
        <f t="shared" si="86"/>
        <v>0</v>
      </c>
      <c r="AC241" s="36"/>
      <c r="AD241" s="272" t="str">
        <f t="shared" si="87"/>
        <v/>
      </c>
      <c r="AE241" s="273">
        <f t="shared" si="88"/>
        <v>0</v>
      </c>
      <c r="AF241" s="273">
        <f t="shared" si="89"/>
        <v>0</v>
      </c>
      <c r="AG241" s="273">
        <f t="shared" si="90"/>
        <v>0</v>
      </c>
      <c r="AH241" s="273">
        <f t="shared" si="91"/>
        <v>0</v>
      </c>
      <c r="AI241" s="273">
        <f t="shared" si="92"/>
        <v>0</v>
      </c>
      <c r="AJ241" s="273">
        <f t="shared" si="93"/>
        <v>0</v>
      </c>
      <c r="AK241" s="273">
        <f t="shared" si="94"/>
        <v>0</v>
      </c>
      <c r="AL241" s="274">
        <f t="shared" si="95"/>
        <v>0</v>
      </c>
      <c r="AN241" s="75" t="str">
        <f t="shared" si="96"/>
        <v>-</v>
      </c>
      <c r="AO241" s="75" t="str">
        <f t="shared" si="97"/>
        <v>-</v>
      </c>
      <c r="AP241" s="48">
        <f t="shared" si="100"/>
        <v>0</v>
      </c>
      <c r="AQ241" s="48">
        <f t="shared" si="98"/>
        <v>0</v>
      </c>
      <c r="AR241" s="49" t="e">
        <f t="shared" si="99"/>
        <v>#N/A</v>
      </c>
    </row>
    <row r="242" spans="1:44" ht="15">
      <c r="A242" s="38"/>
      <c r="B242" s="38"/>
      <c r="C242" s="38"/>
      <c r="D242" s="38"/>
      <c r="E242" s="38"/>
      <c r="F242" s="38"/>
      <c r="G242" s="47">
        <f t="shared" si="81"/>
        <v>6.5978850116714893E-2</v>
      </c>
      <c r="H242" s="44"/>
      <c r="I242" s="44"/>
      <c r="J242" s="45">
        <f t="shared" si="80"/>
        <v>0</v>
      </c>
      <c r="K242" s="38"/>
      <c r="L242" s="38"/>
      <c r="M242" s="38"/>
      <c r="N242" s="34" t="e">
        <f>VLOOKUP(F242,'GHG Emissions Factors'!$B$2:$C$4000,2,FALSE)</f>
        <v>#N/A</v>
      </c>
      <c r="O242" s="45" t="e">
        <f t="shared" si="82"/>
        <v>#N/A</v>
      </c>
      <c r="P242" s="34">
        <f>IF(L242="yes", 0, _xlfn.XLOOKUP(F242, 'GHG Emissions Factors'!$B$2:$B$4000, 'GHG Emissions Factors'!$D$2:$D$4000, 0))</f>
        <v>0</v>
      </c>
      <c r="Q242" s="46"/>
      <c r="R242" s="46"/>
      <c r="S242" s="46">
        <f>ProcurementAllocationData[[#This Row],[Net MWhs Procured]]-(ProcurementAllocationData[[#This Row],[Deep Green]]+ProcurementAllocationData[[#This Row],[LocalSol]]+ProcurementAllocationData[[#This Row],[GreenAccess]])</f>
        <v>0</v>
      </c>
      <c r="T242" s="46"/>
      <c r="U242" s="46"/>
      <c r="V242" s="46"/>
      <c r="W242" s="46"/>
      <c r="X242" s="46"/>
      <c r="Y242" s="112">
        <f t="shared" si="83"/>
        <v>0</v>
      </c>
      <c r="Z242" s="150">
        <f t="shared" si="84"/>
        <v>0</v>
      </c>
      <c r="AA242" s="150">
        <f t="shared" si="85"/>
        <v>0</v>
      </c>
      <c r="AB242" s="113">
        <f t="shared" si="86"/>
        <v>0</v>
      </c>
      <c r="AC242" s="36"/>
      <c r="AD242" s="272" t="str">
        <f t="shared" si="87"/>
        <v/>
      </c>
      <c r="AE242" s="273">
        <f t="shared" si="88"/>
        <v>0</v>
      </c>
      <c r="AF242" s="273">
        <f t="shared" si="89"/>
        <v>0</v>
      </c>
      <c r="AG242" s="273">
        <f t="shared" si="90"/>
        <v>0</v>
      </c>
      <c r="AH242" s="273">
        <f t="shared" si="91"/>
        <v>0</v>
      </c>
      <c r="AI242" s="273">
        <f t="shared" si="92"/>
        <v>0</v>
      </c>
      <c r="AJ242" s="273">
        <f t="shared" si="93"/>
        <v>0</v>
      </c>
      <c r="AK242" s="273">
        <f t="shared" si="94"/>
        <v>0</v>
      </c>
      <c r="AL242" s="274">
        <f t="shared" si="95"/>
        <v>0</v>
      </c>
      <c r="AN242" s="75" t="str">
        <f t="shared" si="96"/>
        <v>-</v>
      </c>
      <c r="AO242" s="75" t="str">
        <f t="shared" si="97"/>
        <v>-</v>
      </c>
      <c r="AP242" s="48">
        <f t="shared" si="100"/>
        <v>0</v>
      </c>
      <c r="AQ242" s="48">
        <f t="shared" si="98"/>
        <v>0</v>
      </c>
      <c r="AR242" s="49" t="e">
        <f t="shared" si="99"/>
        <v>#N/A</v>
      </c>
    </row>
    <row r="243" spans="1:44" ht="15">
      <c r="A243" s="38"/>
      <c r="B243" s="38"/>
      <c r="C243" s="38"/>
      <c r="D243" s="38"/>
      <c r="E243" s="38"/>
      <c r="F243" s="38"/>
      <c r="G243" s="47">
        <f t="shared" si="81"/>
        <v>6.5978850116714893E-2</v>
      </c>
      <c r="H243" s="44"/>
      <c r="I243" s="44"/>
      <c r="J243" s="45">
        <f t="shared" si="80"/>
        <v>0</v>
      </c>
      <c r="K243" s="38"/>
      <c r="L243" s="38"/>
      <c r="M243" s="38"/>
      <c r="N243" s="34" t="e">
        <f>VLOOKUP(F243,'GHG Emissions Factors'!$B$2:$C$4000,2,FALSE)</f>
        <v>#N/A</v>
      </c>
      <c r="O243" s="45" t="e">
        <f t="shared" si="82"/>
        <v>#N/A</v>
      </c>
      <c r="P243" s="34">
        <f>IF(L243="yes", 0, _xlfn.XLOOKUP(F243, 'GHG Emissions Factors'!$B$2:$B$4000, 'GHG Emissions Factors'!$D$2:$D$4000, 0))</f>
        <v>0</v>
      </c>
      <c r="Q243" s="46"/>
      <c r="R243" s="46"/>
      <c r="S243" s="46">
        <f>ProcurementAllocationData[[#This Row],[Net MWhs Procured]]-(ProcurementAllocationData[[#This Row],[Deep Green]]+ProcurementAllocationData[[#This Row],[LocalSol]]+ProcurementAllocationData[[#This Row],[GreenAccess]])</f>
        <v>0</v>
      </c>
      <c r="T243" s="46"/>
      <c r="U243" s="46"/>
      <c r="V243" s="46"/>
      <c r="W243" s="46"/>
      <c r="X243" s="46"/>
      <c r="Y243" s="112">
        <f t="shared" si="83"/>
        <v>0</v>
      </c>
      <c r="Z243" s="150">
        <f t="shared" si="84"/>
        <v>0</v>
      </c>
      <c r="AA243" s="150">
        <f t="shared" si="85"/>
        <v>0</v>
      </c>
      <c r="AB243" s="113">
        <f t="shared" si="86"/>
        <v>0</v>
      </c>
      <c r="AC243" s="36"/>
      <c r="AD243" s="272" t="str">
        <f t="shared" si="87"/>
        <v/>
      </c>
      <c r="AE243" s="273">
        <f t="shared" si="88"/>
        <v>0</v>
      </c>
      <c r="AF243" s="273">
        <f t="shared" si="89"/>
        <v>0</v>
      </c>
      <c r="AG243" s="273">
        <f t="shared" si="90"/>
        <v>0</v>
      </c>
      <c r="AH243" s="273">
        <f t="shared" si="91"/>
        <v>0</v>
      </c>
      <c r="AI243" s="273">
        <f t="shared" si="92"/>
        <v>0</v>
      </c>
      <c r="AJ243" s="273">
        <f t="shared" si="93"/>
        <v>0</v>
      </c>
      <c r="AK243" s="273">
        <f t="shared" si="94"/>
        <v>0</v>
      </c>
      <c r="AL243" s="274">
        <f t="shared" si="95"/>
        <v>0</v>
      </c>
      <c r="AN243" s="75" t="str">
        <f t="shared" si="96"/>
        <v>-</v>
      </c>
      <c r="AO243" s="75" t="str">
        <f t="shared" si="97"/>
        <v>-</v>
      </c>
      <c r="AP243" s="48">
        <f t="shared" si="100"/>
        <v>0</v>
      </c>
      <c r="AQ243" s="48">
        <f t="shared" si="98"/>
        <v>0</v>
      </c>
      <c r="AR243" s="49" t="e">
        <f t="shared" si="99"/>
        <v>#N/A</v>
      </c>
    </row>
    <row r="244" spans="1:44" ht="15">
      <c r="A244" s="38"/>
      <c r="B244" s="38"/>
      <c r="C244" s="38"/>
      <c r="D244" s="38"/>
      <c r="E244" s="38"/>
      <c r="F244" s="38"/>
      <c r="G244" s="47">
        <f t="shared" si="81"/>
        <v>6.5978850116714893E-2</v>
      </c>
      <c r="H244" s="44"/>
      <c r="I244" s="44"/>
      <c r="J244" s="45">
        <f t="shared" ref="J244:J307" si="101">H244-I244</f>
        <v>0</v>
      </c>
      <c r="K244" s="38"/>
      <c r="L244" s="38"/>
      <c r="M244" s="38"/>
      <c r="N244" s="34" t="e">
        <f>VLOOKUP(F244,'GHG Emissions Factors'!$B$2:$C$4000,2,FALSE)</f>
        <v>#N/A</v>
      </c>
      <c r="O244" s="45" t="e">
        <f t="shared" si="82"/>
        <v>#N/A</v>
      </c>
      <c r="P244" s="34">
        <f>IF(L244="yes", 0, _xlfn.XLOOKUP(F244, 'GHG Emissions Factors'!$B$2:$B$4000, 'GHG Emissions Factors'!$D$2:$D$4000, 0))</f>
        <v>0</v>
      </c>
      <c r="Q244" s="46"/>
      <c r="R244" s="46"/>
      <c r="S244" s="46">
        <f>ProcurementAllocationData[[#This Row],[Net MWhs Procured]]-(ProcurementAllocationData[[#This Row],[Deep Green]]+ProcurementAllocationData[[#This Row],[LocalSol]]+ProcurementAllocationData[[#This Row],[GreenAccess]])</f>
        <v>0</v>
      </c>
      <c r="T244" s="46"/>
      <c r="U244" s="46"/>
      <c r="V244" s="46"/>
      <c r="W244" s="46"/>
      <c r="X244" s="46"/>
      <c r="Y244" s="112">
        <f t="shared" si="83"/>
        <v>0</v>
      </c>
      <c r="Z244" s="150">
        <f t="shared" si="84"/>
        <v>0</v>
      </c>
      <c r="AA244" s="150">
        <f t="shared" si="85"/>
        <v>0</v>
      </c>
      <c r="AB244" s="113">
        <f t="shared" si="86"/>
        <v>0</v>
      </c>
      <c r="AC244" s="36"/>
      <c r="AD244" s="272" t="str">
        <f t="shared" si="87"/>
        <v/>
      </c>
      <c r="AE244" s="273">
        <f t="shared" si="88"/>
        <v>0</v>
      </c>
      <c r="AF244" s="273">
        <f t="shared" si="89"/>
        <v>0</v>
      </c>
      <c r="AG244" s="273">
        <f t="shared" si="90"/>
        <v>0</v>
      </c>
      <c r="AH244" s="273">
        <f t="shared" si="91"/>
        <v>0</v>
      </c>
      <c r="AI244" s="273">
        <f t="shared" si="92"/>
        <v>0</v>
      </c>
      <c r="AJ244" s="273">
        <f t="shared" si="93"/>
        <v>0</v>
      </c>
      <c r="AK244" s="273">
        <f t="shared" si="94"/>
        <v>0</v>
      </c>
      <c r="AL244" s="274">
        <f t="shared" si="95"/>
        <v>0</v>
      </c>
      <c r="AN244" s="75" t="str">
        <f t="shared" si="96"/>
        <v>-</v>
      </c>
      <c r="AO244" s="75" t="str">
        <f t="shared" si="97"/>
        <v>-</v>
      </c>
      <c r="AP244" s="48">
        <f t="shared" si="100"/>
        <v>0</v>
      </c>
      <c r="AQ244" s="48">
        <f t="shared" si="98"/>
        <v>0</v>
      </c>
      <c r="AR244" s="49" t="e">
        <f t="shared" si="99"/>
        <v>#N/A</v>
      </c>
    </row>
    <row r="245" spans="1:44" ht="15">
      <c r="A245" s="38"/>
      <c r="B245" s="38"/>
      <c r="C245" s="38"/>
      <c r="D245" s="38"/>
      <c r="E245" s="38"/>
      <c r="F245" s="38"/>
      <c r="G245" s="47">
        <f t="shared" si="81"/>
        <v>6.5978850116714893E-2</v>
      </c>
      <c r="H245" s="44"/>
      <c r="I245" s="44"/>
      <c r="J245" s="45">
        <f t="shared" si="101"/>
        <v>0</v>
      </c>
      <c r="K245" s="38"/>
      <c r="L245" s="38"/>
      <c r="M245" s="38"/>
      <c r="N245" s="34" t="e">
        <f>VLOOKUP(F245,'GHG Emissions Factors'!$B$2:$C$4000,2,FALSE)</f>
        <v>#N/A</v>
      </c>
      <c r="O245" s="45" t="e">
        <f t="shared" si="82"/>
        <v>#N/A</v>
      </c>
      <c r="P245" s="34">
        <f>IF(L245="yes", 0, _xlfn.XLOOKUP(F245, 'GHG Emissions Factors'!$B$2:$B$4000, 'GHG Emissions Factors'!$D$2:$D$4000, 0))</f>
        <v>0</v>
      </c>
      <c r="Q245" s="46"/>
      <c r="R245" s="46"/>
      <c r="S245" s="46">
        <f>ProcurementAllocationData[[#This Row],[Net MWhs Procured]]-(ProcurementAllocationData[[#This Row],[Deep Green]]+ProcurementAllocationData[[#This Row],[LocalSol]]+ProcurementAllocationData[[#This Row],[GreenAccess]])</f>
        <v>0</v>
      </c>
      <c r="T245" s="46"/>
      <c r="U245" s="46"/>
      <c r="V245" s="46"/>
      <c r="W245" s="46"/>
      <c r="X245" s="46"/>
      <c r="Y245" s="112">
        <f t="shared" si="83"/>
        <v>0</v>
      </c>
      <c r="Z245" s="150">
        <f t="shared" si="84"/>
        <v>0</v>
      </c>
      <c r="AA245" s="150">
        <f t="shared" si="85"/>
        <v>0</v>
      </c>
      <c r="AB245" s="113">
        <f t="shared" si="86"/>
        <v>0</v>
      </c>
      <c r="AC245" s="36"/>
      <c r="AD245" s="272" t="str">
        <f t="shared" si="87"/>
        <v/>
      </c>
      <c r="AE245" s="273">
        <f t="shared" si="88"/>
        <v>0</v>
      </c>
      <c r="AF245" s="273">
        <f t="shared" si="89"/>
        <v>0</v>
      </c>
      <c r="AG245" s="273">
        <f t="shared" si="90"/>
        <v>0</v>
      </c>
      <c r="AH245" s="273">
        <f t="shared" si="91"/>
        <v>0</v>
      </c>
      <c r="AI245" s="273">
        <f t="shared" si="92"/>
        <v>0</v>
      </c>
      <c r="AJ245" s="273">
        <f t="shared" si="93"/>
        <v>0</v>
      </c>
      <c r="AK245" s="273">
        <f t="shared" si="94"/>
        <v>0</v>
      </c>
      <c r="AL245" s="274">
        <f t="shared" si="95"/>
        <v>0</v>
      </c>
      <c r="AN245" s="75" t="str">
        <f t="shared" si="96"/>
        <v>-</v>
      </c>
      <c r="AO245" s="75" t="str">
        <f t="shared" si="97"/>
        <v>-</v>
      </c>
      <c r="AP245" s="48">
        <f t="shared" si="100"/>
        <v>0</v>
      </c>
      <c r="AQ245" s="48">
        <f t="shared" si="98"/>
        <v>0</v>
      </c>
      <c r="AR245" s="49" t="e">
        <f t="shared" si="99"/>
        <v>#N/A</v>
      </c>
    </row>
    <row r="246" spans="1:44" ht="15">
      <c r="A246" s="38"/>
      <c r="B246" s="38"/>
      <c r="C246" s="38"/>
      <c r="D246" s="38"/>
      <c r="E246" s="38"/>
      <c r="F246" s="38"/>
      <c r="G246" s="47">
        <f t="shared" si="81"/>
        <v>6.5978850116714893E-2</v>
      </c>
      <c r="H246" s="44"/>
      <c r="I246" s="44"/>
      <c r="J246" s="45">
        <f t="shared" si="101"/>
        <v>0</v>
      </c>
      <c r="K246" s="38"/>
      <c r="L246" s="38"/>
      <c r="M246" s="38"/>
      <c r="N246" s="34" t="e">
        <f>VLOOKUP(F246,'GHG Emissions Factors'!$B$2:$C$4000,2,FALSE)</f>
        <v>#N/A</v>
      </c>
      <c r="O246" s="45" t="e">
        <f t="shared" si="82"/>
        <v>#N/A</v>
      </c>
      <c r="P246" s="34">
        <f>IF(L246="yes", 0, _xlfn.XLOOKUP(F246, 'GHG Emissions Factors'!$B$2:$B$4000, 'GHG Emissions Factors'!$D$2:$D$4000, 0))</f>
        <v>0</v>
      </c>
      <c r="Q246" s="46"/>
      <c r="R246" s="46"/>
      <c r="S246" s="46">
        <f>ProcurementAllocationData[[#This Row],[Net MWhs Procured]]-(ProcurementAllocationData[[#This Row],[Deep Green]]+ProcurementAllocationData[[#This Row],[LocalSol]]+ProcurementAllocationData[[#This Row],[GreenAccess]])</f>
        <v>0</v>
      </c>
      <c r="T246" s="46"/>
      <c r="U246" s="46"/>
      <c r="V246" s="46"/>
      <c r="W246" s="46"/>
      <c r="X246" s="46"/>
      <c r="Y246" s="112">
        <f t="shared" si="83"/>
        <v>0</v>
      </c>
      <c r="Z246" s="150">
        <f t="shared" si="84"/>
        <v>0</v>
      </c>
      <c r="AA246" s="150">
        <f t="shared" si="85"/>
        <v>0</v>
      </c>
      <c r="AB246" s="113">
        <f t="shared" si="86"/>
        <v>0</v>
      </c>
      <c r="AC246" s="36"/>
      <c r="AD246" s="272" t="str">
        <f t="shared" si="87"/>
        <v/>
      </c>
      <c r="AE246" s="273">
        <f t="shared" si="88"/>
        <v>0</v>
      </c>
      <c r="AF246" s="273">
        <f t="shared" si="89"/>
        <v>0</v>
      </c>
      <c r="AG246" s="273">
        <f t="shared" si="90"/>
        <v>0</v>
      </c>
      <c r="AH246" s="273">
        <f t="shared" si="91"/>
        <v>0</v>
      </c>
      <c r="AI246" s="273">
        <f t="shared" si="92"/>
        <v>0</v>
      </c>
      <c r="AJ246" s="273">
        <f t="shared" si="93"/>
        <v>0</v>
      </c>
      <c r="AK246" s="273">
        <f t="shared" si="94"/>
        <v>0</v>
      </c>
      <c r="AL246" s="274">
        <f t="shared" si="95"/>
        <v>0</v>
      </c>
      <c r="AN246" s="75" t="str">
        <f t="shared" si="96"/>
        <v>-</v>
      </c>
      <c r="AO246" s="75" t="str">
        <f t="shared" si="97"/>
        <v>-</v>
      </c>
      <c r="AP246" s="48">
        <f t="shared" si="100"/>
        <v>0</v>
      </c>
      <c r="AQ246" s="48">
        <f t="shared" si="98"/>
        <v>0</v>
      </c>
      <c r="AR246" s="49" t="e">
        <f t="shared" si="99"/>
        <v>#N/A</v>
      </c>
    </row>
    <row r="247" spans="1:44" ht="15">
      <c r="A247" s="38"/>
      <c r="B247" s="38"/>
      <c r="C247" s="38"/>
      <c r="D247" s="38"/>
      <c r="E247" s="38"/>
      <c r="F247" s="38"/>
      <c r="G247" s="47">
        <f t="shared" si="81"/>
        <v>6.5978850116714893E-2</v>
      </c>
      <c r="H247" s="44"/>
      <c r="I247" s="44"/>
      <c r="J247" s="45">
        <f t="shared" si="101"/>
        <v>0</v>
      </c>
      <c r="K247" s="38"/>
      <c r="L247" s="38"/>
      <c r="M247" s="38"/>
      <c r="N247" s="34" t="e">
        <f>VLOOKUP(F247,'GHG Emissions Factors'!$B$2:$C$4000,2,FALSE)</f>
        <v>#N/A</v>
      </c>
      <c r="O247" s="45" t="e">
        <f t="shared" si="82"/>
        <v>#N/A</v>
      </c>
      <c r="P247" s="34">
        <f>IF(L247="yes", 0, _xlfn.XLOOKUP(F247, 'GHG Emissions Factors'!$B$2:$B$4000, 'GHG Emissions Factors'!$D$2:$D$4000, 0))</f>
        <v>0</v>
      </c>
      <c r="Q247" s="46"/>
      <c r="R247" s="46"/>
      <c r="S247" s="46">
        <f>ProcurementAllocationData[[#This Row],[Net MWhs Procured]]-(ProcurementAllocationData[[#This Row],[Deep Green]]+ProcurementAllocationData[[#This Row],[LocalSol]]+ProcurementAllocationData[[#This Row],[GreenAccess]])</f>
        <v>0</v>
      </c>
      <c r="T247" s="46"/>
      <c r="U247" s="46"/>
      <c r="V247" s="46"/>
      <c r="W247" s="46"/>
      <c r="X247" s="46"/>
      <c r="Y247" s="112">
        <f t="shared" si="83"/>
        <v>0</v>
      </c>
      <c r="Z247" s="150">
        <f t="shared" si="84"/>
        <v>0</v>
      </c>
      <c r="AA247" s="150">
        <f t="shared" si="85"/>
        <v>0</v>
      </c>
      <c r="AB247" s="113">
        <f t="shared" si="86"/>
        <v>0</v>
      </c>
      <c r="AC247" s="36"/>
      <c r="AD247" s="272" t="str">
        <f t="shared" si="87"/>
        <v/>
      </c>
      <c r="AE247" s="273">
        <f t="shared" si="88"/>
        <v>0</v>
      </c>
      <c r="AF247" s="273">
        <f t="shared" si="89"/>
        <v>0</v>
      </c>
      <c r="AG247" s="273">
        <f t="shared" si="90"/>
        <v>0</v>
      </c>
      <c r="AH247" s="273">
        <f t="shared" si="91"/>
        <v>0</v>
      </c>
      <c r="AI247" s="273">
        <f t="shared" si="92"/>
        <v>0</v>
      </c>
      <c r="AJ247" s="273">
        <f t="shared" si="93"/>
        <v>0</v>
      </c>
      <c r="AK247" s="273">
        <f t="shared" si="94"/>
        <v>0</v>
      </c>
      <c r="AL247" s="274">
        <f t="shared" si="95"/>
        <v>0</v>
      </c>
      <c r="AN247" s="75" t="str">
        <f t="shared" si="96"/>
        <v>-</v>
      </c>
      <c r="AO247" s="75" t="str">
        <f t="shared" si="97"/>
        <v>-</v>
      </c>
      <c r="AP247" s="48">
        <f t="shared" si="100"/>
        <v>0</v>
      </c>
      <c r="AQ247" s="48">
        <f t="shared" si="98"/>
        <v>0</v>
      </c>
      <c r="AR247" s="49" t="e">
        <f t="shared" si="99"/>
        <v>#N/A</v>
      </c>
    </row>
    <row r="248" spans="1:44" ht="15">
      <c r="A248" s="38"/>
      <c r="B248" s="38"/>
      <c r="C248" s="38"/>
      <c r="D248" s="38"/>
      <c r="E248" s="38"/>
      <c r="F248" s="38"/>
      <c r="G248" s="47">
        <f t="shared" si="81"/>
        <v>6.5978850116714893E-2</v>
      </c>
      <c r="H248" s="44"/>
      <c r="I248" s="44"/>
      <c r="J248" s="45">
        <f t="shared" si="101"/>
        <v>0</v>
      </c>
      <c r="K248" s="38"/>
      <c r="L248" s="38"/>
      <c r="M248" s="38"/>
      <c r="N248" s="34" t="e">
        <f>VLOOKUP(F248,'GHG Emissions Factors'!$B$2:$C$4000,2,FALSE)</f>
        <v>#N/A</v>
      </c>
      <c r="O248" s="45" t="e">
        <f t="shared" si="82"/>
        <v>#N/A</v>
      </c>
      <c r="P248" s="34">
        <f>IF(L248="yes", 0, _xlfn.XLOOKUP(F248, 'GHG Emissions Factors'!$B$2:$B$4000, 'GHG Emissions Factors'!$D$2:$D$4000, 0))</f>
        <v>0</v>
      </c>
      <c r="Q248" s="46"/>
      <c r="R248" s="46"/>
      <c r="S248" s="46">
        <f>ProcurementAllocationData[[#This Row],[Net MWhs Procured]]-(ProcurementAllocationData[[#This Row],[Deep Green]]+ProcurementAllocationData[[#This Row],[LocalSol]]+ProcurementAllocationData[[#This Row],[GreenAccess]])</f>
        <v>0</v>
      </c>
      <c r="T248" s="46"/>
      <c r="U248" s="46"/>
      <c r="V248" s="46"/>
      <c r="W248" s="46"/>
      <c r="X248" s="46"/>
      <c r="Y248" s="112">
        <f t="shared" si="83"/>
        <v>0</v>
      </c>
      <c r="Z248" s="150">
        <f t="shared" si="84"/>
        <v>0</v>
      </c>
      <c r="AA248" s="150">
        <f t="shared" si="85"/>
        <v>0</v>
      </c>
      <c r="AB248" s="113">
        <f t="shared" si="86"/>
        <v>0</v>
      </c>
      <c r="AC248" s="36"/>
      <c r="AD248" s="272" t="str">
        <f t="shared" si="87"/>
        <v/>
      </c>
      <c r="AE248" s="273">
        <f t="shared" si="88"/>
        <v>0</v>
      </c>
      <c r="AF248" s="273">
        <f t="shared" si="89"/>
        <v>0</v>
      </c>
      <c r="AG248" s="273">
        <f t="shared" si="90"/>
        <v>0</v>
      </c>
      <c r="AH248" s="273">
        <f t="shared" si="91"/>
        <v>0</v>
      </c>
      <c r="AI248" s="273">
        <f t="shared" si="92"/>
        <v>0</v>
      </c>
      <c r="AJ248" s="273">
        <f t="shared" si="93"/>
        <v>0</v>
      </c>
      <c r="AK248" s="273">
        <f t="shared" si="94"/>
        <v>0</v>
      </c>
      <c r="AL248" s="274">
        <f t="shared" si="95"/>
        <v>0</v>
      </c>
      <c r="AN248" s="75" t="str">
        <f t="shared" si="96"/>
        <v>-</v>
      </c>
      <c r="AO248" s="75" t="str">
        <f t="shared" si="97"/>
        <v>-</v>
      </c>
      <c r="AP248" s="48">
        <f t="shared" si="100"/>
        <v>0</v>
      </c>
      <c r="AQ248" s="48">
        <f t="shared" si="98"/>
        <v>0</v>
      </c>
      <c r="AR248" s="49" t="e">
        <f t="shared" si="99"/>
        <v>#N/A</v>
      </c>
    </row>
    <row r="249" spans="1:44" ht="15">
      <c r="A249" s="38"/>
      <c r="B249" s="38"/>
      <c r="C249" s="38"/>
      <c r="D249" s="38"/>
      <c r="E249" s="38"/>
      <c r="F249" s="38"/>
      <c r="G249" s="47">
        <f t="shared" si="81"/>
        <v>6.5978850116714893E-2</v>
      </c>
      <c r="H249" s="44"/>
      <c r="I249" s="44"/>
      <c r="J249" s="45">
        <f t="shared" si="101"/>
        <v>0</v>
      </c>
      <c r="K249" s="38"/>
      <c r="L249" s="38"/>
      <c r="M249" s="38"/>
      <c r="N249" s="34" t="e">
        <f>VLOOKUP(F249,'GHG Emissions Factors'!$B$2:$C$4000,2,FALSE)</f>
        <v>#N/A</v>
      </c>
      <c r="O249" s="45" t="e">
        <f t="shared" si="82"/>
        <v>#N/A</v>
      </c>
      <c r="P249" s="34">
        <f>IF(L249="yes", 0, _xlfn.XLOOKUP(F249, 'GHG Emissions Factors'!$B$2:$B$4000, 'GHG Emissions Factors'!$D$2:$D$4000, 0))</f>
        <v>0</v>
      </c>
      <c r="Q249" s="46"/>
      <c r="R249" s="46"/>
      <c r="S249" s="46">
        <f>ProcurementAllocationData[[#This Row],[Net MWhs Procured]]-(ProcurementAllocationData[[#This Row],[Deep Green]]+ProcurementAllocationData[[#This Row],[LocalSol]]+ProcurementAllocationData[[#This Row],[GreenAccess]])</f>
        <v>0</v>
      </c>
      <c r="T249" s="46"/>
      <c r="U249" s="46"/>
      <c r="V249" s="46"/>
      <c r="W249" s="46"/>
      <c r="X249" s="46"/>
      <c r="Y249" s="112">
        <f t="shared" si="83"/>
        <v>0</v>
      </c>
      <c r="Z249" s="150">
        <f t="shared" si="84"/>
        <v>0</v>
      </c>
      <c r="AA249" s="150">
        <f t="shared" si="85"/>
        <v>0</v>
      </c>
      <c r="AB249" s="113">
        <f t="shared" si="86"/>
        <v>0</v>
      </c>
      <c r="AC249" s="36"/>
      <c r="AD249" s="272" t="str">
        <f t="shared" si="87"/>
        <v/>
      </c>
      <c r="AE249" s="273">
        <f t="shared" si="88"/>
        <v>0</v>
      </c>
      <c r="AF249" s="273">
        <f t="shared" si="89"/>
        <v>0</v>
      </c>
      <c r="AG249" s="273">
        <f t="shared" si="90"/>
        <v>0</v>
      </c>
      <c r="AH249" s="273">
        <f t="shared" si="91"/>
        <v>0</v>
      </c>
      <c r="AI249" s="273">
        <f t="shared" si="92"/>
        <v>0</v>
      </c>
      <c r="AJ249" s="273">
        <f t="shared" si="93"/>
        <v>0</v>
      </c>
      <c r="AK249" s="273">
        <f t="shared" si="94"/>
        <v>0</v>
      </c>
      <c r="AL249" s="274">
        <f t="shared" si="95"/>
        <v>0</v>
      </c>
      <c r="AN249" s="75" t="str">
        <f t="shared" si="96"/>
        <v>-</v>
      </c>
      <c r="AO249" s="75" t="str">
        <f t="shared" si="97"/>
        <v>-</v>
      </c>
      <c r="AP249" s="48">
        <f t="shared" si="100"/>
        <v>0</v>
      </c>
      <c r="AQ249" s="48">
        <f t="shared" si="98"/>
        <v>0</v>
      </c>
      <c r="AR249" s="49" t="e">
        <f t="shared" si="99"/>
        <v>#N/A</v>
      </c>
    </row>
    <row r="250" spans="1:44" ht="15">
      <c r="A250" s="38"/>
      <c r="B250" s="38"/>
      <c r="C250" s="38"/>
      <c r="D250" s="38"/>
      <c r="E250" s="38"/>
      <c r="F250" s="38"/>
      <c r="G250" s="47">
        <f t="shared" si="81"/>
        <v>6.5978850116714893E-2</v>
      </c>
      <c r="H250" s="44"/>
      <c r="I250" s="44"/>
      <c r="J250" s="45">
        <f t="shared" si="101"/>
        <v>0</v>
      </c>
      <c r="K250" s="38"/>
      <c r="L250" s="38"/>
      <c r="M250" s="38"/>
      <c r="N250" s="34" t="e">
        <f>VLOOKUP(F250,'GHG Emissions Factors'!$B$2:$C$4000,2,FALSE)</f>
        <v>#N/A</v>
      </c>
      <c r="O250" s="45" t="e">
        <f t="shared" si="82"/>
        <v>#N/A</v>
      </c>
      <c r="P250" s="34">
        <f>IF(L250="yes", 0, _xlfn.XLOOKUP(F250, 'GHG Emissions Factors'!$B$2:$B$4000, 'GHG Emissions Factors'!$D$2:$D$4000, 0))</f>
        <v>0</v>
      </c>
      <c r="Q250" s="46"/>
      <c r="R250" s="46"/>
      <c r="S250" s="46">
        <f>ProcurementAllocationData[[#This Row],[Net MWhs Procured]]-(ProcurementAllocationData[[#This Row],[Deep Green]]+ProcurementAllocationData[[#This Row],[LocalSol]]+ProcurementAllocationData[[#This Row],[GreenAccess]])</f>
        <v>0</v>
      </c>
      <c r="T250" s="46"/>
      <c r="U250" s="46"/>
      <c r="V250" s="46"/>
      <c r="W250" s="46"/>
      <c r="X250" s="46"/>
      <c r="Y250" s="112">
        <f t="shared" si="83"/>
        <v>0</v>
      </c>
      <c r="Z250" s="150">
        <f t="shared" si="84"/>
        <v>0</v>
      </c>
      <c r="AA250" s="150">
        <f t="shared" si="85"/>
        <v>0</v>
      </c>
      <c r="AB250" s="113">
        <f t="shared" si="86"/>
        <v>0</v>
      </c>
      <c r="AC250" s="36"/>
      <c r="AD250" s="272" t="str">
        <f t="shared" si="87"/>
        <v/>
      </c>
      <c r="AE250" s="273">
        <f t="shared" si="88"/>
        <v>0</v>
      </c>
      <c r="AF250" s="273">
        <f t="shared" si="89"/>
        <v>0</v>
      </c>
      <c r="AG250" s="273">
        <f t="shared" si="90"/>
        <v>0</v>
      </c>
      <c r="AH250" s="273">
        <f t="shared" si="91"/>
        <v>0</v>
      </c>
      <c r="AI250" s="273">
        <f t="shared" si="92"/>
        <v>0</v>
      </c>
      <c r="AJ250" s="273">
        <f t="shared" si="93"/>
        <v>0</v>
      </c>
      <c r="AK250" s="273">
        <f t="shared" si="94"/>
        <v>0</v>
      </c>
      <c r="AL250" s="274">
        <f t="shared" si="95"/>
        <v>0</v>
      </c>
      <c r="AN250" s="75" t="str">
        <f t="shared" si="96"/>
        <v>-</v>
      </c>
      <c r="AO250" s="75" t="str">
        <f t="shared" si="97"/>
        <v>-</v>
      </c>
      <c r="AP250" s="48">
        <f t="shared" si="100"/>
        <v>0</v>
      </c>
      <c r="AQ250" s="48">
        <f t="shared" si="98"/>
        <v>0</v>
      </c>
      <c r="AR250" s="49" t="e">
        <f t="shared" si="99"/>
        <v>#N/A</v>
      </c>
    </row>
    <row r="251" spans="1:44" ht="15">
      <c r="A251" s="38"/>
      <c r="B251" s="38"/>
      <c r="C251" s="38"/>
      <c r="D251" s="38"/>
      <c r="E251" s="38"/>
      <c r="F251" s="38"/>
      <c r="G251" s="47">
        <f t="shared" si="81"/>
        <v>6.5978850116714893E-2</v>
      </c>
      <c r="H251" s="44"/>
      <c r="I251" s="44"/>
      <c r="J251" s="45">
        <f t="shared" si="101"/>
        <v>0</v>
      </c>
      <c r="K251" s="38"/>
      <c r="L251" s="38"/>
      <c r="M251" s="38"/>
      <c r="N251" s="34" t="e">
        <f>VLOOKUP(F251,'GHG Emissions Factors'!$B$2:$C$4000,2,FALSE)</f>
        <v>#N/A</v>
      </c>
      <c r="O251" s="45" t="e">
        <f t="shared" si="82"/>
        <v>#N/A</v>
      </c>
      <c r="P251" s="34">
        <f>IF(L251="yes", 0, _xlfn.XLOOKUP(F251, 'GHG Emissions Factors'!$B$2:$B$4000, 'GHG Emissions Factors'!$D$2:$D$4000, 0))</f>
        <v>0</v>
      </c>
      <c r="Q251" s="46"/>
      <c r="R251" s="46"/>
      <c r="S251" s="46">
        <f>ProcurementAllocationData[[#This Row],[Net MWhs Procured]]-(ProcurementAllocationData[[#This Row],[Deep Green]]+ProcurementAllocationData[[#This Row],[LocalSol]]+ProcurementAllocationData[[#This Row],[GreenAccess]])</f>
        <v>0</v>
      </c>
      <c r="T251" s="46"/>
      <c r="U251" s="46"/>
      <c r="V251" s="46"/>
      <c r="W251" s="46"/>
      <c r="X251" s="46"/>
      <c r="Y251" s="112">
        <f t="shared" si="83"/>
        <v>0</v>
      </c>
      <c r="Z251" s="150">
        <f t="shared" si="84"/>
        <v>0</v>
      </c>
      <c r="AA251" s="150">
        <f t="shared" si="85"/>
        <v>0</v>
      </c>
      <c r="AB251" s="113">
        <f t="shared" si="86"/>
        <v>0</v>
      </c>
      <c r="AC251" s="36"/>
      <c r="AD251" s="272" t="str">
        <f t="shared" si="87"/>
        <v/>
      </c>
      <c r="AE251" s="273">
        <f t="shared" si="88"/>
        <v>0</v>
      </c>
      <c r="AF251" s="273">
        <f t="shared" si="89"/>
        <v>0</v>
      </c>
      <c r="AG251" s="273">
        <f t="shared" si="90"/>
        <v>0</v>
      </c>
      <c r="AH251" s="273">
        <f t="shared" si="91"/>
        <v>0</v>
      </c>
      <c r="AI251" s="273">
        <f t="shared" si="92"/>
        <v>0</v>
      </c>
      <c r="AJ251" s="273">
        <f t="shared" si="93"/>
        <v>0</v>
      </c>
      <c r="AK251" s="273">
        <f t="shared" si="94"/>
        <v>0</v>
      </c>
      <c r="AL251" s="274">
        <f t="shared" si="95"/>
        <v>0</v>
      </c>
      <c r="AN251" s="75" t="str">
        <f t="shared" si="96"/>
        <v>-</v>
      </c>
      <c r="AO251" s="75" t="str">
        <f t="shared" si="97"/>
        <v>-</v>
      </c>
      <c r="AP251" s="48">
        <f t="shared" si="100"/>
        <v>0</v>
      </c>
      <c r="AQ251" s="48">
        <f t="shared" si="98"/>
        <v>0</v>
      </c>
      <c r="AR251" s="49" t="e">
        <f t="shared" si="99"/>
        <v>#N/A</v>
      </c>
    </row>
    <row r="252" spans="1:44" ht="15">
      <c r="A252" s="38"/>
      <c r="B252" s="38"/>
      <c r="C252" s="38"/>
      <c r="D252" s="38"/>
      <c r="E252" s="38"/>
      <c r="F252" s="38"/>
      <c r="G252" s="47">
        <f t="shared" si="81"/>
        <v>6.5978850116714893E-2</v>
      </c>
      <c r="H252" s="44"/>
      <c r="I252" s="44"/>
      <c r="J252" s="45">
        <f t="shared" si="101"/>
        <v>0</v>
      </c>
      <c r="K252" s="38"/>
      <c r="L252" s="38"/>
      <c r="M252" s="38"/>
      <c r="N252" s="34" t="e">
        <f>VLOOKUP(F252,'GHG Emissions Factors'!$B$2:$C$4000,2,FALSE)</f>
        <v>#N/A</v>
      </c>
      <c r="O252" s="45" t="e">
        <f t="shared" si="82"/>
        <v>#N/A</v>
      </c>
      <c r="P252" s="34">
        <f>IF(L252="yes", 0, _xlfn.XLOOKUP(F252, 'GHG Emissions Factors'!$B$2:$B$4000, 'GHG Emissions Factors'!$D$2:$D$4000, 0))</f>
        <v>0</v>
      </c>
      <c r="Q252" s="46"/>
      <c r="R252" s="46"/>
      <c r="S252" s="46">
        <f>ProcurementAllocationData[[#This Row],[Net MWhs Procured]]-(ProcurementAllocationData[[#This Row],[Deep Green]]+ProcurementAllocationData[[#This Row],[LocalSol]]+ProcurementAllocationData[[#This Row],[GreenAccess]])</f>
        <v>0</v>
      </c>
      <c r="T252" s="46"/>
      <c r="U252" s="46"/>
      <c r="V252" s="46"/>
      <c r="W252" s="46"/>
      <c r="X252" s="46"/>
      <c r="Y252" s="112">
        <f t="shared" si="83"/>
        <v>0</v>
      </c>
      <c r="Z252" s="150">
        <f t="shared" si="84"/>
        <v>0</v>
      </c>
      <c r="AA252" s="150">
        <f t="shared" si="85"/>
        <v>0</v>
      </c>
      <c r="AB252" s="113">
        <f t="shared" si="86"/>
        <v>0</v>
      </c>
      <c r="AC252" s="36"/>
      <c r="AD252" s="272" t="str">
        <f t="shared" si="87"/>
        <v/>
      </c>
      <c r="AE252" s="273">
        <f t="shared" si="88"/>
        <v>0</v>
      </c>
      <c r="AF252" s="273">
        <f t="shared" si="89"/>
        <v>0</v>
      </c>
      <c r="AG252" s="273">
        <f t="shared" si="90"/>
        <v>0</v>
      </c>
      <c r="AH252" s="273">
        <f t="shared" si="91"/>
        <v>0</v>
      </c>
      <c r="AI252" s="273">
        <f t="shared" si="92"/>
        <v>0</v>
      </c>
      <c r="AJ252" s="273">
        <f t="shared" si="93"/>
        <v>0</v>
      </c>
      <c r="AK252" s="273">
        <f t="shared" si="94"/>
        <v>0</v>
      </c>
      <c r="AL252" s="274">
        <f t="shared" si="95"/>
        <v>0</v>
      </c>
      <c r="AN252" s="75" t="str">
        <f t="shared" si="96"/>
        <v>-</v>
      </c>
      <c r="AO252" s="75" t="str">
        <f t="shared" si="97"/>
        <v>-</v>
      </c>
      <c r="AP252" s="48">
        <f t="shared" si="100"/>
        <v>0</v>
      </c>
      <c r="AQ252" s="48">
        <f t="shared" si="98"/>
        <v>0</v>
      </c>
      <c r="AR252" s="49" t="e">
        <f t="shared" si="99"/>
        <v>#N/A</v>
      </c>
    </row>
    <row r="253" spans="1:44" ht="15">
      <c r="A253" s="38"/>
      <c r="B253" s="38"/>
      <c r="C253" s="38"/>
      <c r="D253" s="38"/>
      <c r="E253" s="38"/>
      <c r="F253" s="38"/>
      <c r="G253" s="47">
        <f t="shared" si="81"/>
        <v>6.5978850116714893E-2</v>
      </c>
      <c r="H253" s="44"/>
      <c r="I253" s="44"/>
      <c r="J253" s="45">
        <f t="shared" si="101"/>
        <v>0</v>
      </c>
      <c r="K253" s="38"/>
      <c r="L253" s="38"/>
      <c r="M253" s="38"/>
      <c r="N253" s="34" t="e">
        <f>VLOOKUP(F253,'GHG Emissions Factors'!$B$2:$C$4000,2,FALSE)</f>
        <v>#N/A</v>
      </c>
      <c r="O253" s="45" t="e">
        <f t="shared" si="82"/>
        <v>#N/A</v>
      </c>
      <c r="P253" s="34">
        <f>IF(L253="yes", 0, _xlfn.XLOOKUP(F253, 'GHG Emissions Factors'!$B$2:$B$4000, 'GHG Emissions Factors'!$D$2:$D$4000, 0))</f>
        <v>0</v>
      </c>
      <c r="Q253" s="46"/>
      <c r="R253" s="46"/>
      <c r="S253" s="46">
        <f>ProcurementAllocationData[[#This Row],[Net MWhs Procured]]-(ProcurementAllocationData[[#This Row],[Deep Green]]+ProcurementAllocationData[[#This Row],[LocalSol]]+ProcurementAllocationData[[#This Row],[GreenAccess]])</f>
        <v>0</v>
      </c>
      <c r="T253" s="46"/>
      <c r="U253" s="46"/>
      <c r="V253" s="46"/>
      <c r="W253" s="46"/>
      <c r="X253" s="46"/>
      <c r="Y253" s="112">
        <f t="shared" si="83"/>
        <v>0</v>
      </c>
      <c r="Z253" s="150">
        <f t="shared" si="84"/>
        <v>0</v>
      </c>
      <c r="AA253" s="150">
        <f t="shared" si="85"/>
        <v>0</v>
      </c>
      <c r="AB253" s="113">
        <f t="shared" si="86"/>
        <v>0</v>
      </c>
      <c r="AC253" s="36"/>
      <c r="AD253" s="272" t="str">
        <f t="shared" si="87"/>
        <v/>
      </c>
      <c r="AE253" s="273">
        <f t="shared" si="88"/>
        <v>0</v>
      </c>
      <c r="AF253" s="273">
        <f t="shared" si="89"/>
        <v>0</v>
      </c>
      <c r="AG253" s="273">
        <f t="shared" si="90"/>
        <v>0</v>
      </c>
      <c r="AH253" s="273">
        <f t="shared" si="91"/>
        <v>0</v>
      </c>
      <c r="AI253" s="273">
        <f t="shared" si="92"/>
        <v>0</v>
      </c>
      <c r="AJ253" s="273">
        <f t="shared" si="93"/>
        <v>0</v>
      </c>
      <c r="AK253" s="273">
        <f t="shared" si="94"/>
        <v>0</v>
      </c>
      <c r="AL253" s="274">
        <f t="shared" si="95"/>
        <v>0</v>
      </c>
      <c r="AN253" s="75" t="str">
        <f t="shared" si="96"/>
        <v>-</v>
      </c>
      <c r="AO253" s="75" t="str">
        <f t="shared" si="97"/>
        <v>-</v>
      </c>
      <c r="AP253" s="48">
        <f t="shared" si="100"/>
        <v>0</v>
      </c>
      <c r="AQ253" s="48">
        <f t="shared" si="98"/>
        <v>0</v>
      </c>
      <c r="AR253" s="49" t="e">
        <f t="shared" si="99"/>
        <v>#N/A</v>
      </c>
    </row>
    <row r="254" spans="1:44" ht="15">
      <c r="A254" s="38"/>
      <c r="B254" s="38"/>
      <c r="C254" s="38"/>
      <c r="D254" s="38"/>
      <c r="E254" s="38"/>
      <c r="F254" s="38"/>
      <c r="G254" s="47">
        <f t="shared" si="81"/>
        <v>6.5978850116714893E-2</v>
      </c>
      <c r="H254" s="44"/>
      <c r="I254" s="44"/>
      <c r="J254" s="45">
        <f t="shared" si="101"/>
        <v>0</v>
      </c>
      <c r="K254" s="38"/>
      <c r="L254" s="38"/>
      <c r="M254" s="38"/>
      <c r="N254" s="34" t="e">
        <f>VLOOKUP(F254,'GHG Emissions Factors'!$B$2:$C$4000,2,FALSE)</f>
        <v>#N/A</v>
      </c>
      <c r="O254" s="45" t="e">
        <f t="shared" si="82"/>
        <v>#N/A</v>
      </c>
      <c r="P254" s="34">
        <f>IF(L254="yes", 0, _xlfn.XLOOKUP(F254, 'GHG Emissions Factors'!$B$2:$B$4000, 'GHG Emissions Factors'!$D$2:$D$4000, 0))</f>
        <v>0</v>
      </c>
      <c r="Q254" s="46"/>
      <c r="R254" s="46"/>
      <c r="S254" s="46">
        <f>ProcurementAllocationData[[#This Row],[Net MWhs Procured]]-(ProcurementAllocationData[[#This Row],[Deep Green]]+ProcurementAllocationData[[#This Row],[LocalSol]]+ProcurementAllocationData[[#This Row],[GreenAccess]])</f>
        <v>0</v>
      </c>
      <c r="T254" s="46"/>
      <c r="U254" s="46"/>
      <c r="V254" s="46"/>
      <c r="W254" s="46"/>
      <c r="X254" s="46"/>
      <c r="Y254" s="112">
        <f t="shared" si="83"/>
        <v>0</v>
      </c>
      <c r="Z254" s="150">
        <f t="shared" si="84"/>
        <v>0</v>
      </c>
      <c r="AA254" s="150">
        <f t="shared" si="85"/>
        <v>0</v>
      </c>
      <c r="AB254" s="113">
        <f t="shared" si="86"/>
        <v>0</v>
      </c>
      <c r="AC254" s="36"/>
      <c r="AD254" s="272" t="str">
        <f t="shared" si="87"/>
        <v/>
      </c>
      <c r="AE254" s="273">
        <f t="shared" si="88"/>
        <v>0</v>
      </c>
      <c r="AF254" s="273">
        <f t="shared" si="89"/>
        <v>0</v>
      </c>
      <c r="AG254" s="273">
        <f t="shared" si="90"/>
        <v>0</v>
      </c>
      <c r="AH254" s="273">
        <f t="shared" si="91"/>
        <v>0</v>
      </c>
      <c r="AI254" s="273">
        <f t="shared" si="92"/>
        <v>0</v>
      </c>
      <c r="AJ254" s="273">
        <f t="shared" si="93"/>
        <v>0</v>
      </c>
      <c r="AK254" s="273">
        <f t="shared" si="94"/>
        <v>0</v>
      </c>
      <c r="AL254" s="274">
        <f t="shared" si="95"/>
        <v>0</v>
      </c>
      <c r="AN254" s="75" t="str">
        <f t="shared" si="96"/>
        <v>-</v>
      </c>
      <c r="AO254" s="75" t="str">
        <f t="shared" si="97"/>
        <v>-</v>
      </c>
      <c r="AP254" s="48">
        <f t="shared" si="100"/>
        <v>0</v>
      </c>
      <c r="AQ254" s="48">
        <f t="shared" si="98"/>
        <v>0</v>
      </c>
      <c r="AR254" s="49" t="e">
        <f t="shared" si="99"/>
        <v>#N/A</v>
      </c>
    </row>
    <row r="255" spans="1:44" ht="15">
      <c r="A255" s="38"/>
      <c r="B255" s="38"/>
      <c r="C255" s="38"/>
      <c r="D255" s="38"/>
      <c r="E255" s="38"/>
      <c r="F255" s="38"/>
      <c r="G255" s="47">
        <f t="shared" si="81"/>
        <v>6.5978850116714893E-2</v>
      </c>
      <c r="H255" s="44"/>
      <c r="I255" s="44"/>
      <c r="J255" s="45">
        <f t="shared" si="101"/>
        <v>0</v>
      </c>
      <c r="K255" s="38"/>
      <c r="L255" s="38"/>
      <c r="M255" s="38"/>
      <c r="N255" s="34" t="e">
        <f>VLOOKUP(F255,'GHG Emissions Factors'!$B$2:$C$4000,2,FALSE)</f>
        <v>#N/A</v>
      </c>
      <c r="O255" s="45" t="e">
        <f t="shared" si="82"/>
        <v>#N/A</v>
      </c>
      <c r="P255" s="34">
        <f>IF(L255="yes", 0, _xlfn.XLOOKUP(F255, 'GHG Emissions Factors'!$B$2:$B$4000, 'GHG Emissions Factors'!$D$2:$D$4000, 0))</f>
        <v>0</v>
      </c>
      <c r="Q255" s="46"/>
      <c r="R255" s="46"/>
      <c r="S255" s="46">
        <f>ProcurementAllocationData[[#This Row],[Net MWhs Procured]]-(ProcurementAllocationData[[#This Row],[Deep Green]]+ProcurementAllocationData[[#This Row],[LocalSol]]+ProcurementAllocationData[[#This Row],[GreenAccess]])</f>
        <v>0</v>
      </c>
      <c r="T255" s="46"/>
      <c r="U255" s="46"/>
      <c r="V255" s="46"/>
      <c r="W255" s="46"/>
      <c r="X255" s="46"/>
      <c r="Y255" s="112">
        <f t="shared" si="83"/>
        <v>0</v>
      </c>
      <c r="Z255" s="150">
        <f t="shared" si="84"/>
        <v>0</v>
      </c>
      <c r="AA255" s="150">
        <f t="shared" si="85"/>
        <v>0</v>
      </c>
      <c r="AB255" s="113">
        <f t="shared" si="86"/>
        <v>0</v>
      </c>
      <c r="AC255" s="36"/>
      <c r="AD255" s="272" t="str">
        <f t="shared" si="87"/>
        <v/>
      </c>
      <c r="AE255" s="273">
        <f t="shared" si="88"/>
        <v>0</v>
      </c>
      <c r="AF255" s="273">
        <f t="shared" si="89"/>
        <v>0</v>
      </c>
      <c r="AG255" s="273">
        <f t="shared" si="90"/>
        <v>0</v>
      </c>
      <c r="AH255" s="273">
        <f t="shared" si="91"/>
        <v>0</v>
      </c>
      <c r="AI255" s="273">
        <f t="shared" si="92"/>
        <v>0</v>
      </c>
      <c r="AJ255" s="273">
        <f t="shared" si="93"/>
        <v>0</v>
      </c>
      <c r="AK255" s="273">
        <f t="shared" si="94"/>
        <v>0</v>
      </c>
      <c r="AL255" s="274">
        <f t="shared" si="95"/>
        <v>0</v>
      </c>
      <c r="AN255" s="75" t="str">
        <f t="shared" si="96"/>
        <v>-</v>
      </c>
      <c r="AO255" s="75" t="str">
        <f t="shared" si="97"/>
        <v>-</v>
      </c>
      <c r="AP255" s="48">
        <f t="shared" si="100"/>
        <v>0</v>
      </c>
      <c r="AQ255" s="48">
        <f t="shared" si="98"/>
        <v>0</v>
      </c>
      <c r="AR255" s="49" t="e">
        <f t="shared" si="99"/>
        <v>#N/A</v>
      </c>
    </row>
    <row r="256" spans="1:44" ht="15">
      <c r="A256" s="38"/>
      <c r="B256" s="38"/>
      <c r="C256" s="38"/>
      <c r="D256" s="38"/>
      <c r="E256" s="38"/>
      <c r="F256" s="38"/>
      <c r="G256" s="47">
        <f t="shared" si="81"/>
        <v>6.5978850116714893E-2</v>
      </c>
      <c r="H256" s="44"/>
      <c r="I256" s="44"/>
      <c r="J256" s="45">
        <f t="shared" si="101"/>
        <v>0</v>
      </c>
      <c r="K256" s="38"/>
      <c r="L256" s="38"/>
      <c r="M256" s="38"/>
      <c r="N256" s="34" t="e">
        <f>VLOOKUP(F256,'GHG Emissions Factors'!$B$2:$C$4000,2,FALSE)</f>
        <v>#N/A</v>
      </c>
      <c r="O256" s="45" t="e">
        <f t="shared" si="82"/>
        <v>#N/A</v>
      </c>
      <c r="P256" s="34">
        <f>IF(L256="yes", 0, _xlfn.XLOOKUP(F256, 'GHG Emissions Factors'!$B$2:$B$4000, 'GHG Emissions Factors'!$D$2:$D$4000, 0))</f>
        <v>0</v>
      </c>
      <c r="Q256" s="46"/>
      <c r="R256" s="46"/>
      <c r="S256" s="46">
        <f>ProcurementAllocationData[[#This Row],[Net MWhs Procured]]-(ProcurementAllocationData[[#This Row],[Deep Green]]+ProcurementAllocationData[[#This Row],[LocalSol]]+ProcurementAllocationData[[#This Row],[GreenAccess]])</f>
        <v>0</v>
      </c>
      <c r="T256" s="46"/>
      <c r="U256" s="46"/>
      <c r="V256" s="46"/>
      <c r="W256" s="46"/>
      <c r="X256" s="46"/>
      <c r="Y256" s="112">
        <f t="shared" si="83"/>
        <v>0</v>
      </c>
      <c r="Z256" s="150">
        <f t="shared" si="84"/>
        <v>0</v>
      </c>
      <c r="AA256" s="150">
        <f t="shared" si="85"/>
        <v>0</v>
      </c>
      <c r="AB256" s="113">
        <f t="shared" si="86"/>
        <v>0</v>
      </c>
      <c r="AC256" s="36"/>
      <c r="AD256" s="272" t="str">
        <f t="shared" si="87"/>
        <v/>
      </c>
      <c r="AE256" s="273">
        <f t="shared" si="88"/>
        <v>0</v>
      </c>
      <c r="AF256" s="273">
        <f t="shared" si="89"/>
        <v>0</v>
      </c>
      <c r="AG256" s="273">
        <f t="shared" si="90"/>
        <v>0</v>
      </c>
      <c r="AH256" s="273">
        <f t="shared" si="91"/>
        <v>0</v>
      </c>
      <c r="AI256" s="273">
        <f t="shared" si="92"/>
        <v>0</v>
      </c>
      <c r="AJ256" s="273">
        <f t="shared" si="93"/>
        <v>0</v>
      </c>
      <c r="AK256" s="273">
        <f t="shared" si="94"/>
        <v>0</v>
      </c>
      <c r="AL256" s="274">
        <f t="shared" si="95"/>
        <v>0</v>
      </c>
      <c r="AN256" s="75" t="str">
        <f t="shared" si="96"/>
        <v>-</v>
      </c>
      <c r="AO256" s="75" t="str">
        <f t="shared" si="97"/>
        <v>-</v>
      </c>
      <c r="AP256" s="48">
        <f t="shared" si="100"/>
        <v>0</v>
      </c>
      <c r="AQ256" s="48">
        <f t="shared" si="98"/>
        <v>0</v>
      </c>
      <c r="AR256" s="49" t="e">
        <f t="shared" si="99"/>
        <v>#N/A</v>
      </c>
    </row>
    <row r="257" spans="1:44" ht="15">
      <c r="A257" s="38"/>
      <c r="B257" s="38"/>
      <c r="C257" s="38"/>
      <c r="D257" s="38"/>
      <c r="E257" s="38"/>
      <c r="F257" s="38"/>
      <c r="G257" s="47">
        <f t="shared" si="81"/>
        <v>6.5978850116714893E-2</v>
      </c>
      <c r="H257" s="44"/>
      <c r="I257" s="44"/>
      <c r="J257" s="45">
        <f t="shared" si="101"/>
        <v>0</v>
      </c>
      <c r="K257" s="38"/>
      <c r="L257" s="38"/>
      <c r="M257" s="38"/>
      <c r="N257" s="34" t="e">
        <f>VLOOKUP(F257,'GHG Emissions Factors'!$B$2:$C$4000,2,FALSE)</f>
        <v>#N/A</v>
      </c>
      <c r="O257" s="45" t="e">
        <f t="shared" si="82"/>
        <v>#N/A</v>
      </c>
      <c r="P257" s="34">
        <f>IF(L257="yes", 0, _xlfn.XLOOKUP(F257, 'GHG Emissions Factors'!$B$2:$B$4000, 'GHG Emissions Factors'!$D$2:$D$4000, 0))</f>
        <v>0</v>
      </c>
      <c r="Q257" s="46"/>
      <c r="R257" s="46"/>
      <c r="S257" s="46">
        <f>ProcurementAllocationData[[#This Row],[Net MWhs Procured]]-(ProcurementAllocationData[[#This Row],[Deep Green]]+ProcurementAllocationData[[#This Row],[LocalSol]]+ProcurementAllocationData[[#This Row],[GreenAccess]])</f>
        <v>0</v>
      </c>
      <c r="T257" s="46"/>
      <c r="U257" s="46"/>
      <c r="V257" s="46"/>
      <c r="W257" s="46"/>
      <c r="X257" s="46"/>
      <c r="Y257" s="112">
        <f t="shared" si="83"/>
        <v>0</v>
      </c>
      <c r="Z257" s="150">
        <f t="shared" si="84"/>
        <v>0</v>
      </c>
      <c r="AA257" s="150">
        <f t="shared" si="85"/>
        <v>0</v>
      </c>
      <c r="AB257" s="113">
        <f t="shared" si="86"/>
        <v>0</v>
      </c>
      <c r="AC257" s="36"/>
      <c r="AD257" s="272" t="str">
        <f t="shared" si="87"/>
        <v/>
      </c>
      <c r="AE257" s="273">
        <f t="shared" si="88"/>
        <v>0</v>
      </c>
      <c r="AF257" s="273">
        <f t="shared" si="89"/>
        <v>0</v>
      </c>
      <c r="AG257" s="273">
        <f t="shared" si="90"/>
        <v>0</v>
      </c>
      <c r="AH257" s="273">
        <f t="shared" si="91"/>
        <v>0</v>
      </c>
      <c r="AI257" s="273">
        <f t="shared" si="92"/>
        <v>0</v>
      </c>
      <c r="AJ257" s="273">
        <f t="shared" si="93"/>
        <v>0</v>
      </c>
      <c r="AK257" s="273">
        <f t="shared" si="94"/>
        <v>0</v>
      </c>
      <c r="AL257" s="274">
        <f t="shared" si="95"/>
        <v>0</v>
      </c>
      <c r="AN257" s="75" t="str">
        <f t="shared" si="96"/>
        <v>-</v>
      </c>
      <c r="AO257" s="75" t="str">
        <f t="shared" si="97"/>
        <v>-</v>
      </c>
      <c r="AP257" s="48">
        <f t="shared" si="100"/>
        <v>0</v>
      </c>
      <c r="AQ257" s="48">
        <f t="shared" si="98"/>
        <v>0</v>
      </c>
      <c r="AR257" s="49" t="e">
        <f t="shared" si="99"/>
        <v>#N/A</v>
      </c>
    </row>
    <row r="258" spans="1:44" ht="15">
      <c r="A258" s="38"/>
      <c r="B258" s="38"/>
      <c r="C258" s="38"/>
      <c r="D258" s="38"/>
      <c r="E258" s="38"/>
      <c r="F258" s="38"/>
      <c r="G258" s="47">
        <f t="shared" si="81"/>
        <v>6.5978850116714893E-2</v>
      </c>
      <c r="H258" s="44"/>
      <c r="I258" s="44"/>
      <c r="J258" s="45">
        <f t="shared" si="101"/>
        <v>0</v>
      </c>
      <c r="K258" s="38"/>
      <c r="L258" s="38"/>
      <c r="M258" s="38"/>
      <c r="N258" s="34" t="e">
        <f>VLOOKUP(F258,'GHG Emissions Factors'!$B$2:$C$4000,2,FALSE)</f>
        <v>#N/A</v>
      </c>
      <c r="O258" s="45" t="e">
        <f t="shared" si="82"/>
        <v>#N/A</v>
      </c>
      <c r="P258" s="34">
        <f>IF(L258="yes", 0, _xlfn.XLOOKUP(F258, 'GHG Emissions Factors'!$B$2:$B$4000, 'GHG Emissions Factors'!$D$2:$D$4000, 0))</f>
        <v>0</v>
      </c>
      <c r="Q258" s="46"/>
      <c r="R258" s="46"/>
      <c r="S258" s="46">
        <f>ProcurementAllocationData[[#This Row],[Net MWhs Procured]]-(ProcurementAllocationData[[#This Row],[Deep Green]]+ProcurementAllocationData[[#This Row],[LocalSol]]+ProcurementAllocationData[[#This Row],[GreenAccess]])</f>
        <v>0</v>
      </c>
      <c r="T258" s="46"/>
      <c r="U258" s="46"/>
      <c r="V258" s="46"/>
      <c r="W258" s="46"/>
      <c r="X258" s="46"/>
      <c r="Y258" s="112">
        <f t="shared" si="83"/>
        <v>0</v>
      </c>
      <c r="Z258" s="150">
        <f t="shared" si="84"/>
        <v>0</v>
      </c>
      <c r="AA258" s="150">
        <f t="shared" si="85"/>
        <v>0</v>
      </c>
      <c r="AB258" s="113">
        <f t="shared" si="86"/>
        <v>0</v>
      </c>
      <c r="AC258" s="36"/>
      <c r="AD258" s="272" t="str">
        <f t="shared" si="87"/>
        <v/>
      </c>
      <c r="AE258" s="273">
        <f t="shared" si="88"/>
        <v>0</v>
      </c>
      <c r="AF258" s="273">
        <f t="shared" si="89"/>
        <v>0</v>
      </c>
      <c r="AG258" s="273">
        <f t="shared" si="90"/>
        <v>0</v>
      </c>
      <c r="AH258" s="273">
        <f t="shared" si="91"/>
        <v>0</v>
      </c>
      <c r="AI258" s="273">
        <f t="shared" si="92"/>
        <v>0</v>
      </c>
      <c r="AJ258" s="273">
        <f t="shared" si="93"/>
        <v>0</v>
      </c>
      <c r="AK258" s="273">
        <f t="shared" si="94"/>
        <v>0</v>
      </c>
      <c r="AL258" s="274">
        <f t="shared" si="95"/>
        <v>0</v>
      </c>
      <c r="AN258" s="75" t="str">
        <f t="shared" si="96"/>
        <v>-</v>
      </c>
      <c r="AO258" s="75" t="str">
        <f t="shared" si="97"/>
        <v>-</v>
      </c>
      <c r="AP258" s="48">
        <f t="shared" si="100"/>
        <v>0</v>
      </c>
      <c r="AQ258" s="48">
        <f t="shared" si="98"/>
        <v>0</v>
      </c>
      <c r="AR258" s="49" t="e">
        <f t="shared" si="99"/>
        <v>#N/A</v>
      </c>
    </row>
    <row r="259" spans="1:44" ht="15">
      <c r="A259" s="38"/>
      <c r="B259" s="38"/>
      <c r="C259" s="38"/>
      <c r="D259" s="38"/>
      <c r="E259" s="38"/>
      <c r="F259" s="38"/>
      <c r="G259" s="47">
        <f t="shared" si="81"/>
        <v>6.5978850116714893E-2</v>
      </c>
      <c r="H259" s="44"/>
      <c r="I259" s="44"/>
      <c r="J259" s="45">
        <f t="shared" si="101"/>
        <v>0</v>
      </c>
      <c r="K259" s="38"/>
      <c r="L259" s="38"/>
      <c r="M259" s="38"/>
      <c r="N259" s="34" t="e">
        <f>VLOOKUP(F259,'GHG Emissions Factors'!$B$2:$C$4000,2,FALSE)</f>
        <v>#N/A</v>
      </c>
      <c r="O259" s="45" t="e">
        <f t="shared" si="82"/>
        <v>#N/A</v>
      </c>
      <c r="P259" s="34">
        <f>IF(L259="yes", 0, _xlfn.XLOOKUP(F259, 'GHG Emissions Factors'!$B$2:$B$4000, 'GHG Emissions Factors'!$D$2:$D$4000, 0))</f>
        <v>0</v>
      </c>
      <c r="Q259" s="46"/>
      <c r="R259" s="46"/>
      <c r="S259" s="46">
        <f>ProcurementAllocationData[[#This Row],[Net MWhs Procured]]-(ProcurementAllocationData[[#This Row],[Deep Green]]+ProcurementAllocationData[[#This Row],[LocalSol]]+ProcurementAllocationData[[#This Row],[GreenAccess]])</f>
        <v>0</v>
      </c>
      <c r="T259" s="46"/>
      <c r="U259" s="46"/>
      <c r="V259" s="46"/>
      <c r="W259" s="46"/>
      <c r="X259" s="46"/>
      <c r="Y259" s="112">
        <f t="shared" si="83"/>
        <v>0</v>
      </c>
      <c r="Z259" s="150">
        <f t="shared" si="84"/>
        <v>0</v>
      </c>
      <c r="AA259" s="150">
        <f t="shared" si="85"/>
        <v>0</v>
      </c>
      <c r="AB259" s="113">
        <f t="shared" si="86"/>
        <v>0</v>
      </c>
      <c r="AC259" s="36"/>
      <c r="AD259" s="272" t="str">
        <f t="shared" si="87"/>
        <v/>
      </c>
      <c r="AE259" s="273">
        <f t="shared" si="88"/>
        <v>0</v>
      </c>
      <c r="AF259" s="273">
        <f t="shared" si="89"/>
        <v>0</v>
      </c>
      <c r="AG259" s="273">
        <f t="shared" si="90"/>
        <v>0</v>
      </c>
      <c r="AH259" s="273">
        <f t="shared" si="91"/>
        <v>0</v>
      </c>
      <c r="AI259" s="273">
        <f t="shared" si="92"/>
        <v>0</v>
      </c>
      <c r="AJ259" s="273">
        <f t="shared" si="93"/>
        <v>0</v>
      </c>
      <c r="AK259" s="273">
        <f t="shared" si="94"/>
        <v>0</v>
      </c>
      <c r="AL259" s="274">
        <f t="shared" si="95"/>
        <v>0</v>
      </c>
      <c r="AN259" s="75" t="str">
        <f t="shared" si="96"/>
        <v>-</v>
      </c>
      <c r="AO259" s="75" t="str">
        <f t="shared" si="97"/>
        <v>-</v>
      </c>
      <c r="AP259" s="48">
        <f t="shared" si="100"/>
        <v>0</v>
      </c>
      <c r="AQ259" s="48">
        <f t="shared" si="98"/>
        <v>0</v>
      </c>
      <c r="AR259" s="49" t="e">
        <f t="shared" si="99"/>
        <v>#N/A</v>
      </c>
    </row>
    <row r="260" spans="1:44" ht="15">
      <c r="A260" s="38"/>
      <c r="B260" s="38"/>
      <c r="C260" s="38"/>
      <c r="D260" s="38"/>
      <c r="E260" s="38"/>
      <c r="F260" s="38"/>
      <c r="G260" s="47">
        <f t="shared" si="81"/>
        <v>6.5978850116714893E-2</v>
      </c>
      <c r="H260" s="44"/>
      <c r="I260" s="44"/>
      <c r="J260" s="45">
        <f t="shared" si="101"/>
        <v>0</v>
      </c>
      <c r="K260" s="38"/>
      <c r="L260" s="38"/>
      <c r="M260" s="38"/>
      <c r="N260" s="34" t="e">
        <f>VLOOKUP(F260,'GHG Emissions Factors'!$B$2:$C$4000,2,FALSE)</f>
        <v>#N/A</v>
      </c>
      <c r="O260" s="45" t="e">
        <f t="shared" si="82"/>
        <v>#N/A</v>
      </c>
      <c r="P260" s="34">
        <f>IF(L260="yes", 0, _xlfn.XLOOKUP(F260, 'GHG Emissions Factors'!$B$2:$B$4000, 'GHG Emissions Factors'!$D$2:$D$4000, 0))</f>
        <v>0</v>
      </c>
      <c r="Q260" s="46"/>
      <c r="R260" s="46"/>
      <c r="S260" s="46">
        <f>ProcurementAllocationData[[#This Row],[Net MWhs Procured]]-(ProcurementAllocationData[[#This Row],[Deep Green]]+ProcurementAllocationData[[#This Row],[LocalSol]]+ProcurementAllocationData[[#This Row],[GreenAccess]])</f>
        <v>0</v>
      </c>
      <c r="T260" s="46"/>
      <c r="U260" s="46"/>
      <c r="V260" s="46"/>
      <c r="W260" s="46"/>
      <c r="X260" s="46"/>
      <c r="Y260" s="112">
        <f t="shared" si="83"/>
        <v>0</v>
      </c>
      <c r="Z260" s="150">
        <f t="shared" si="84"/>
        <v>0</v>
      </c>
      <c r="AA260" s="150">
        <f t="shared" si="85"/>
        <v>0</v>
      </c>
      <c r="AB260" s="113">
        <f t="shared" si="86"/>
        <v>0</v>
      </c>
      <c r="AC260" s="36"/>
      <c r="AD260" s="272" t="str">
        <f t="shared" si="87"/>
        <v/>
      </c>
      <c r="AE260" s="273">
        <f t="shared" si="88"/>
        <v>0</v>
      </c>
      <c r="AF260" s="273">
        <f t="shared" si="89"/>
        <v>0</v>
      </c>
      <c r="AG260" s="273">
        <f t="shared" si="90"/>
        <v>0</v>
      </c>
      <c r="AH260" s="273">
        <f t="shared" si="91"/>
        <v>0</v>
      </c>
      <c r="AI260" s="273">
        <f t="shared" si="92"/>
        <v>0</v>
      </c>
      <c r="AJ260" s="273">
        <f t="shared" si="93"/>
        <v>0</v>
      </c>
      <c r="AK260" s="273">
        <f t="shared" si="94"/>
        <v>0</v>
      </c>
      <c r="AL260" s="274">
        <f t="shared" si="95"/>
        <v>0</v>
      </c>
      <c r="AN260" s="75" t="str">
        <f t="shared" si="96"/>
        <v>-</v>
      </c>
      <c r="AO260" s="75" t="str">
        <f t="shared" si="97"/>
        <v>-</v>
      </c>
      <c r="AP260" s="48">
        <f t="shared" si="100"/>
        <v>0</v>
      </c>
      <c r="AQ260" s="48">
        <f t="shared" si="98"/>
        <v>0</v>
      </c>
      <c r="AR260" s="49" t="e">
        <f t="shared" si="99"/>
        <v>#N/A</v>
      </c>
    </row>
    <row r="261" spans="1:44" ht="15">
      <c r="A261" s="38"/>
      <c r="B261" s="38"/>
      <c r="C261" s="38"/>
      <c r="D261" s="38"/>
      <c r="E261" s="38"/>
      <c r="F261" s="38"/>
      <c r="G261" s="47">
        <f t="shared" si="81"/>
        <v>6.5978850116714893E-2</v>
      </c>
      <c r="H261" s="44"/>
      <c r="I261" s="44"/>
      <c r="J261" s="45">
        <f t="shared" si="101"/>
        <v>0</v>
      </c>
      <c r="K261" s="38"/>
      <c r="L261" s="38"/>
      <c r="M261" s="38"/>
      <c r="N261" s="34" t="e">
        <f>VLOOKUP(F261,'GHG Emissions Factors'!$B$2:$C$4000,2,FALSE)</f>
        <v>#N/A</v>
      </c>
      <c r="O261" s="45" t="e">
        <f t="shared" si="82"/>
        <v>#N/A</v>
      </c>
      <c r="P261" s="34">
        <f>IF(L261="yes", 0, _xlfn.XLOOKUP(F261, 'GHG Emissions Factors'!$B$2:$B$4000, 'GHG Emissions Factors'!$D$2:$D$4000, 0))</f>
        <v>0</v>
      </c>
      <c r="Q261" s="46"/>
      <c r="R261" s="46"/>
      <c r="S261" s="46">
        <f>ProcurementAllocationData[[#This Row],[Net MWhs Procured]]-(ProcurementAllocationData[[#This Row],[Deep Green]]+ProcurementAllocationData[[#This Row],[LocalSol]]+ProcurementAllocationData[[#This Row],[GreenAccess]])</f>
        <v>0</v>
      </c>
      <c r="T261" s="46"/>
      <c r="U261" s="46"/>
      <c r="V261" s="46"/>
      <c r="W261" s="46"/>
      <c r="X261" s="46"/>
      <c r="Y261" s="112">
        <f t="shared" si="83"/>
        <v>0</v>
      </c>
      <c r="Z261" s="150">
        <f t="shared" si="84"/>
        <v>0</v>
      </c>
      <c r="AA261" s="150">
        <f t="shared" si="85"/>
        <v>0</v>
      </c>
      <c r="AB261" s="113">
        <f t="shared" si="86"/>
        <v>0</v>
      </c>
      <c r="AC261" s="36"/>
      <c r="AD261" s="272" t="str">
        <f t="shared" si="87"/>
        <v/>
      </c>
      <c r="AE261" s="273">
        <f t="shared" si="88"/>
        <v>0</v>
      </c>
      <c r="AF261" s="273">
        <f t="shared" si="89"/>
        <v>0</v>
      </c>
      <c r="AG261" s="273">
        <f t="shared" si="90"/>
        <v>0</v>
      </c>
      <c r="AH261" s="273">
        <f t="shared" si="91"/>
        <v>0</v>
      </c>
      <c r="AI261" s="273">
        <f t="shared" si="92"/>
        <v>0</v>
      </c>
      <c r="AJ261" s="273">
        <f t="shared" si="93"/>
        <v>0</v>
      </c>
      <c r="AK261" s="273">
        <f t="shared" si="94"/>
        <v>0</v>
      </c>
      <c r="AL261" s="274">
        <f t="shared" si="95"/>
        <v>0</v>
      </c>
      <c r="AN261" s="75" t="str">
        <f t="shared" si="96"/>
        <v>-</v>
      </c>
      <c r="AO261" s="75" t="str">
        <f t="shared" si="97"/>
        <v>-</v>
      </c>
      <c r="AP261" s="48">
        <f t="shared" si="100"/>
        <v>0</v>
      </c>
      <c r="AQ261" s="48">
        <f t="shared" si="98"/>
        <v>0</v>
      </c>
      <c r="AR261" s="49" t="e">
        <f t="shared" si="99"/>
        <v>#N/A</v>
      </c>
    </row>
    <row r="262" spans="1:44" ht="15">
      <c r="A262" s="38"/>
      <c r="B262" s="38"/>
      <c r="C262" s="38"/>
      <c r="D262" s="38"/>
      <c r="E262" s="38"/>
      <c r="F262" s="38"/>
      <c r="G262" s="47">
        <f t="shared" si="81"/>
        <v>6.5978850116714893E-2</v>
      </c>
      <c r="H262" s="44"/>
      <c r="I262" s="44"/>
      <c r="J262" s="45">
        <f t="shared" si="101"/>
        <v>0</v>
      </c>
      <c r="K262" s="38"/>
      <c r="L262" s="38"/>
      <c r="M262" s="38"/>
      <c r="N262" s="34" t="e">
        <f>VLOOKUP(F262,'GHG Emissions Factors'!$B$2:$C$4000,2,FALSE)</f>
        <v>#N/A</v>
      </c>
      <c r="O262" s="45" t="e">
        <f t="shared" si="82"/>
        <v>#N/A</v>
      </c>
      <c r="P262" s="34">
        <f>IF(L262="yes", 0, _xlfn.XLOOKUP(F262, 'GHG Emissions Factors'!$B$2:$B$4000, 'GHG Emissions Factors'!$D$2:$D$4000, 0))</f>
        <v>0</v>
      </c>
      <c r="Q262" s="46"/>
      <c r="R262" s="46"/>
      <c r="S262" s="46">
        <f>ProcurementAllocationData[[#This Row],[Net MWhs Procured]]-(ProcurementAllocationData[[#This Row],[Deep Green]]+ProcurementAllocationData[[#This Row],[LocalSol]]+ProcurementAllocationData[[#This Row],[GreenAccess]])</f>
        <v>0</v>
      </c>
      <c r="T262" s="46"/>
      <c r="U262" s="46"/>
      <c r="V262" s="46"/>
      <c r="W262" s="46"/>
      <c r="X262" s="46"/>
      <c r="Y262" s="112">
        <f t="shared" si="83"/>
        <v>0</v>
      </c>
      <c r="Z262" s="150">
        <f t="shared" si="84"/>
        <v>0</v>
      </c>
      <c r="AA262" s="150">
        <f t="shared" si="85"/>
        <v>0</v>
      </c>
      <c r="AB262" s="113">
        <f t="shared" si="86"/>
        <v>0</v>
      </c>
      <c r="AC262" s="36"/>
      <c r="AD262" s="272" t="str">
        <f t="shared" si="87"/>
        <v/>
      </c>
      <c r="AE262" s="273">
        <f t="shared" si="88"/>
        <v>0</v>
      </c>
      <c r="AF262" s="273">
        <f t="shared" si="89"/>
        <v>0</v>
      </c>
      <c r="AG262" s="273">
        <f t="shared" si="90"/>
        <v>0</v>
      </c>
      <c r="AH262" s="273">
        <f t="shared" si="91"/>
        <v>0</v>
      </c>
      <c r="AI262" s="273">
        <f t="shared" si="92"/>
        <v>0</v>
      </c>
      <c r="AJ262" s="273">
        <f t="shared" si="93"/>
        <v>0</v>
      </c>
      <c r="AK262" s="273">
        <f t="shared" si="94"/>
        <v>0</v>
      </c>
      <c r="AL262" s="274">
        <f t="shared" si="95"/>
        <v>0</v>
      </c>
      <c r="AN262" s="75" t="str">
        <f t="shared" si="96"/>
        <v>-</v>
      </c>
      <c r="AO262" s="75" t="str">
        <f t="shared" si="97"/>
        <v>-</v>
      </c>
      <c r="AP262" s="48">
        <f t="shared" si="100"/>
        <v>0</v>
      </c>
      <c r="AQ262" s="48">
        <f t="shared" si="98"/>
        <v>0</v>
      </c>
      <c r="AR262" s="49" t="e">
        <f t="shared" si="99"/>
        <v>#N/A</v>
      </c>
    </row>
    <row r="263" spans="1:44" ht="15">
      <c r="A263" s="38"/>
      <c r="B263" s="38"/>
      <c r="C263" s="38"/>
      <c r="D263" s="38"/>
      <c r="E263" s="38"/>
      <c r="F263" s="38"/>
      <c r="G263" s="47">
        <f t="shared" si="81"/>
        <v>6.5978850116714893E-2</v>
      </c>
      <c r="H263" s="44"/>
      <c r="I263" s="44"/>
      <c r="J263" s="45">
        <f t="shared" si="101"/>
        <v>0</v>
      </c>
      <c r="K263" s="38"/>
      <c r="L263" s="38"/>
      <c r="M263" s="38"/>
      <c r="N263" s="34" t="e">
        <f>VLOOKUP(F263,'GHG Emissions Factors'!$B$2:$C$4000,2,FALSE)</f>
        <v>#N/A</v>
      </c>
      <c r="O263" s="45" t="e">
        <f t="shared" si="82"/>
        <v>#N/A</v>
      </c>
      <c r="P263" s="34">
        <f>IF(L263="yes", 0, _xlfn.XLOOKUP(F263, 'GHG Emissions Factors'!$B$2:$B$4000, 'GHG Emissions Factors'!$D$2:$D$4000, 0))</f>
        <v>0</v>
      </c>
      <c r="Q263" s="46"/>
      <c r="R263" s="46"/>
      <c r="S263" s="46">
        <f>ProcurementAllocationData[[#This Row],[Net MWhs Procured]]-(ProcurementAllocationData[[#This Row],[Deep Green]]+ProcurementAllocationData[[#This Row],[LocalSol]]+ProcurementAllocationData[[#This Row],[GreenAccess]])</f>
        <v>0</v>
      </c>
      <c r="T263" s="46"/>
      <c r="U263" s="46"/>
      <c r="V263" s="46"/>
      <c r="W263" s="46"/>
      <c r="X263" s="46"/>
      <c r="Y263" s="112">
        <f t="shared" si="83"/>
        <v>0</v>
      </c>
      <c r="Z263" s="150">
        <f t="shared" si="84"/>
        <v>0</v>
      </c>
      <c r="AA263" s="150">
        <f t="shared" si="85"/>
        <v>0</v>
      </c>
      <c r="AB263" s="113">
        <f t="shared" si="86"/>
        <v>0</v>
      </c>
      <c r="AC263" s="36"/>
      <c r="AD263" s="272" t="str">
        <f t="shared" si="87"/>
        <v/>
      </c>
      <c r="AE263" s="273">
        <f t="shared" si="88"/>
        <v>0</v>
      </c>
      <c r="AF263" s="273">
        <f t="shared" si="89"/>
        <v>0</v>
      </c>
      <c r="AG263" s="273">
        <f t="shared" si="90"/>
        <v>0</v>
      </c>
      <c r="AH263" s="273">
        <f t="shared" si="91"/>
        <v>0</v>
      </c>
      <c r="AI263" s="273">
        <f t="shared" si="92"/>
        <v>0</v>
      </c>
      <c r="AJ263" s="273">
        <f t="shared" si="93"/>
        <v>0</v>
      </c>
      <c r="AK263" s="273">
        <f t="shared" si="94"/>
        <v>0</v>
      </c>
      <c r="AL263" s="274">
        <f t="shared" si="95"/>
        <v>0</v>
      </c>
      <c r="AN263" s="75" t="str">
        <f t="shared" si="96"/>
        <v>-</v>
      </c>
      <c r="AO263" s="75" t="str">
        <f t="shared" si="97"/>
        <v>-</v>
      </c>
      <c r="AP263" s="48">
        <f t="shared" si="100"/>
        <v>0</v>
      </c>
      <c r="AQ263" s="48">
        <f t="shared" si="98"/>
        <v>0</v>
      </c>
      <c r="AR263" s="49" t="e">
        <f t="shared" si="99"/>
        <v>#N/A</v>
      </c>
    </row>
    <row r="264" spans="1:44" ht="15">
      <c r="A264" s="38"/>
      <c r="B264" s="38"/>
      <c r="C264" s="38"/>
      <c r="D264" s="38"/>
      <c r="E264" s="38"/>
      <c r="F264" s="38"/>
      <c r="G264" s="47">
        <f t="shared" si="81"/>
        <v>6.5978850116714893E-2</v>
      </c>
      <c r="H264" s="44"/>
      <c r="I264" s="44"/>
      <c r="J264" s="45">
        <f t="shared" si="101"/>
        <v>0</v>
      </c>
      <c r="K264" s="38"/>
      <c r="L264" s="38"/>
      <c r="M264" s="38"/>
      <c r="N264" s="34" t="e">
        <f>VLOOKUP(F264,'GHG Emissions Factors'!$B$2:$C$4000,2,FALSE)</f>
        <v>#N/A</v>
      </c>
      <c r="O264" s="45" t="e">
        <f t="shared" si="82"/>
        <v>#N/A</v>
      </c>
      <c r="P264" s="34">
        <f>IF(L264="yes", 0, _xlfn.XLOOKUP(F264, 'GHG Emissions Factors'!$B$2:$B$4000, 'GHG Emissions Factors'!$D$2:$D$4000, 0))</f>
        <v>0</v>
      </c>
      <c r="Q264" s="46"/>
      <c r="R264" s="46"/>
      <c r="S264" s="46">
        <f>ProcurementAllocationData[[#This Row],[Net MWhs Procured]]-(ProcurementAllocationData[[#This Row],[Deep Green]]+ProcurementAllocationData[[#This Row],[LocalSol]]+ProcurementAllocationData[[#This Row],[GreenAccess]])</f>
        <v>0</v>
      </c>
      <c r="T264" s="46"/>
      <c r="U264" s="46"/>
      <c r="V264" s="46"/>
      <c r="W264" s="46"/>
      <c r="X264" s="46"/>
      <c r="Y264" s="112">
        <f t="shared" si="83"/>
        <v>0</v>
      </c>
      <c r="Z264" s="150">
        <f t="shared" si="84"/>
        <v>0</v>
      </c>
      <c r="AA264" s="150">
        <f t="shared" si="85"/>
        <v>0</v>
      </c>
      <c r="AB264" s="113">
        <f t="shared" si="86"/>
        <v>0</v>
      </c>
      <c r="AC264" s="36"/>
      <c r="AD264" s="272" t="str">
        <f t="shared" si="87"/>
        <v/>
      </c>
      <c r="AE264" s="273">
        <f t="shared" si="88"/>
        <v>0</v>
      </c>
      <c r="AF264" s="273">
        <f t="shared" si="89"/>
        <v>0</v>
      </c>
      <c r="AG264" s="273">
        <f t="shared" si="90"/>
        <v>0</v>
      </c>
      <c r="AH264" s="273">
        <f t="shared" si="91"/>
        <v>0</v>
      </c>
      <c r="AI264" s="273">
        <f t="shared" si="92"/>
        <v>0</v>
      </c>
      <c r="AJ264" s="273">
        <f t="shared" si="93"/>
        <v>0</v>
      </c>
      <c r="AK264" s="273">
        <f t="shared" si="94"/>
        <v>0</v>
      </c>
      <c r="AL264" s="274">
        <f t="shared" si="95"/>
        <v>0</v>
      </c>
      <c r="AN264" s="75" t="str">
        <f t="shared" si="96"/>
        <v>-</v>
      </c>
      <c r="AO264" s="75" t="str">
        <f t="shared" si="97"/>
        <v>-</v>
      </c>
      <c r="AP264" s="48">
        <f t="shared" si="100"/>
        <v>0</v>
      </c>
      <c r="AQ264" s="48">
        <f t="shared" si="98"/>
        <v>0</v>
      </c>
      <c r="AR264" s="49" t="e">
        <f t="shared" si="99"/>
        <v>#N/A</v>
      </c>
    </row>
    <row r="265" spans="1:44" ht="15">
      <c r="A265" s="38"/>
      <c r="B265" s="38"/>
      <c r="C265" s="38"/>
      <c r="D265" s="38"/>
      <c r="E265" s="38"/>
      <c r="F265" s="38"/>
      <c r="G265" s="47">
        <f t="shared" si="81"/>
        <v>6.5978850116714893E-2</v>
      </c>
      <c r="H265" s="44"/>
      <c r="I265" s="44"/>
      <c r="J265" s="45">
        <f t="shared" si="101"/>
        <v>0</v>
      </c>
      <c r="K265" s="38"/>
      <c r="L265" s="38"/>
      <c r="M265" s="38"/>
      <c r="N265" s="34" t="e">
        <f>VLOOKUP(F265,'GHG Emissions Factors'!$B$2:$C$4000,2,FALSE)</f>
        <v>#N/A</v>
      </c>
      <c r="O265" s="45" t="e">
        <f t="shared" si="82"/>
        <v>#N/A</v>
      </c>
      <c r="P265" s="34">
        <f>IF(L265="yes", 0, _xlfn.XLOOKUP(F265, 'GHG Emissions Factors'!$B$2:$B$4000, 'GHG Emissions Factors'!$D$2:$D$4000, 0))</f>
        <v>0</v>
      </c>
      <c r="Q265" s="46"/>
      <c r="R265" s="46"/>
      <c r="S265" s="46">
        <f>ProcurementAllocationData[[#This Row],[Net MWhs Procured]]-(ProcurementAllocationData[[#This Row],[Deep Green]]+ProcurementAllocationData[[#This Row],[LocalSol]]+ProcurementAllocationData[[#This Row],[GreenAccess]])</f>
        <v>0</v>
      </c>
      <c r="T265" s="46"/>
      <c r="U265" s="46"/>
      <c r="V265" s="46"/>
      <c r="W265" s="46"/>
      <c r="X265" s="46"/>
      <c r="Y265" s="112">
        <f t="shared" si="83"/>
        <v>0</v>
      </c>
      <c r="Z265" s="150">
        <f t="shared" si="84"/>
        <v>0</v>
      </c>
      <c r="AA265" s="150">
        <f t="shared" si="85"/>
        <v>0</v>
      </c>
      <c r="AB265" s="113">
        <f t="shared" si="86"/>
        <v>0</v>
      </c>
      <c r="AC265" s="36"/>
      <c r="AD265" s="272" t="str">
        <f t="shared" si="87"/>
        <v/>
      </c>
      <c r="AE265" s="273">
        <f t="shared" si="88"/>
        <v>0</v>
      </c>
      <c r="AF265" s="273">
        <f t="shared" si="89"/>
        <v>0</v>
      </c>
      <c r="AG265" s="273">
        <f t="shared" si="90"/>
        <v>0</v>
      </c>
      <c r="AH265" s="273">
        <f t="shared" si="91"/>
        <v>0</v>
      </c>
      <c r="AI265" s="273">
        <f t="shared" si="92"/>
        <v>0</v>
      </c>
      <c r="AJ265" s="273">
        <f t="shared" si="93"/>
        <v>0</v>
      </c>
      <c r="AK265" s="273">
        <f t="shared" si="94"/>
        <v>0</v>
      </c>
      <c r="AL265" s="274">
        <f t="shared" si="95"/>
        <v>0</v>
      </c>
      <c r="AN265" s="75" t="str">
        <f t="shared" si="96"/>
        <v>-</v>
      </c>
      <c r="AO265" s="75" t="str">
        <f t="shared" si="97"/>
        <v>-</v>
      </c>
      <c r="AP265" s="48">
        <f t="shared" si="100"/>
        <v>0</v>
      </c>
      <c r="AQ265" s="48">
        <f t="shared" si="98"/>
        <v>0</v>
      </c>
      <c r="AR265" s="49" t="e">
        <f t="shared" si="99"/>
        <v>#N/A</v>
      </c>
    </row>
    <row r="266" spans="1:44" ht="15">
      <c r="A266" s="38"/>
      <c r="B266" s="38"/>
      <c r="C266" s="38"/>
      <c r="D266" s="38"/>
      <c r="E266" s="38"/>
      <c r="F266" s="38"/>
      <c r="G266" s="47">
        <f t="shared" si="81"/>
        <v>6.5978850116714893E-2</v>
      </c>
      <c r="H266" s="44"/>
      <c r="I266" s="44"/>
      <c r="J266" s="45">
        <f t="shared" si="101"/>
        <v>0</v>
      </c>
      <c r="K266" s="38"/>
      <c r="L266" s="38"/>
      <c r="M266" s="38"/>
      <c r="N266" s="34" t="e">
        <f>VLOOKUP(F266,'GHG Emissions Factors'!$B$2:$C$4000,2,FALSE)</f>
        <v>#N/A</v>
      </c>
      <c r="O266" s="45" t="e">
        <f t="shared" si="82"/>
        <v>#N/A</v>
      </c>
      <c r="P266" s="34">
        <f>IF(L266="yes", 0, _xlfn.XLOOKUP(F266, 'GHG Emissions Factors'!$B$2:$B$4000, 'GHG Emissions Factors'!$D$2:$D$4000, 0))</f>
        <v>0</v>
      </c>
      <c r="Q266" s="46"/>
      <c r="R266" s="46"/>
      <c r="S266" s="46">
        <f>ProcurementAllocationData[[#This Row],[Net MWhs Procured]]-(ProcurementAllocationData[[#This Row],[Deep Green]]+ProcurementAllocationData[[#This Row],[LocalSol]]+ProcurementAllocationData[[#This Row],[GreenAccess]])</f>
        <v>0</v>
      </c>
      <c r="T266" s="46"/>
      <c r="U266" s="46"/>
      <c r="V266" s="46"/>
      <c r="W266" s="46"/>
      <c r="X266" s="46"/>
      <c r="Y266" s="112">
        <f t="shared" si="83"/>
        <v>0</v>
      </c>
      <c r="Z266" s="150">
        <f t="shared" si="84"/>
        <v>0</v>
      </c>
      <c r="AA266" s="150">
        <f t="shared" si="85"/>
        <v>0</v>
      </c>
      <c r="AB266" s="113">
        <f t="shared" si="86"/>
        <v>0</v>
      </c>
      <c r="AC266" s="36"/>
      <c r="AD266" s="272" t="str">
        <f t="shared" si="87"/>
        <v/>
      </c>
      <c r="AE266" s="273">
        <f t="shared" si="88"/>
        <v>0</v>
      </c>
      <c r="AF266" s="273">
        <f t="shared" si="89"/>
        <v>0</v>
      </c>
      <c r="AG266" s="273">
        <f t="shared" si="90"/>
        <v>0</v>
      </c>
      <c r="AH266" s="273">
        <f t="shared" si="91"/>
        <v>0</v>
      </c>
      <c r="AI266" s="273">
        <f t="shared" si="92"/>
        <v>0</v>
      </c>
      <c r="AJ266" s="273">
        <f t="shared" si="93"/>
        <v>0</v>
      </c>
      <c r="AK266" s="273">
        <f t="shared" si="94"/>
        <v>0</v>
      </c>
      <c r="AL266" s="274">
        <f t="shared" si="95"/>
        <v>0</v>
      </c>
      <c r="AN266" s="75" t="str">
        <f t="shared" si="96"/>
        <v>-</v>
      </c>
      <c r="AO266" s="75" t="str">
        <f t="shared" si="97"/>
        <v>-</v>
      </c>
      <c r="AP266" s="48">
        <f t="shared" si="100"/>
        <v>0</v>
      </c>
      <c r="AQ266" s="48">
        <f t="shared" si="98"/>
        <v>0</v>
      </c>
      <c r="AR266" s="49" t="e">
        <f t="shared" si="99"/>
        <v>#N/A</v>
      </c>
    </row>
    <row r="267" spans="1:44" ht="15">
      <c r="A267" s="38"/>
      <c r="B267" s="38"/>
      <c r="C267" s="38"/>
      <c r="D267" s="38"/>
      <c r="E267" s="38"/>
      <c r="F267" s="38"/>
      <c r="G267" s="47">
        <f t="shared" si="81"/>
        <v>6.5978850116714893E-2</v>
      </c>
      <c r="H267" s="44"/>
      <c r="I267" s="44"/>
      <c r="J267" s="45">
        <f t="shared" si="101"/>
        <v>0</v>
      </c>
      <c r="K267" s="38"/>
      <c r="L267" s="38"/>
      <c r="M267" s="38"/>
      <c r="N267" s="34" t="e">
        <f>VLOOKUP(F267,'GHG Emissions Factors'!$B$2:$C$4000,2,FALSE)</f>
        <v>#N/A</v>
      </c>
      <c r="O267" s="45" t="e">
        <f t="shared" si="82"/>
        <v>#N/A</v>
      </c>
      <c r="P267" s="34">
        <f>IF(L267="yes", 0, _xlfn.XLOOKUP(F267, 'GHG Emissions Factors'!$B$2:$B$4000, 'GHG Emissions Factors'!$D$2:$D$4000, 0))</f>
        <v>0</v>
      </c>
      <c r="Q267" s="46"/>
      <c r="R267" s="46"/>
      <c r="S267" s="46">
        <f>ProcurementAllocationData[[#This Row],[Net MWhs Procured]]-(ProcurementAllocationData[[#This Row],[Deep Green]]+ProcurementAllocationData[[#This Row],[LocalSol]]+ProcurementAllocationData[[#This Row],[GreenAccess]])</f>
        <v>0</v>
      </c>
      <c r="T267" s="46"/>
      <c r="U267" s="46"/>
      <c r="V267" s="46"/>
      <c r="W267" s="46"/>
      <c r="X267" s="46"/>
      <c r="Y267" s="112">
        <f t="shared" si="83"/>
        <v>0</v>
      </c>
      <c r="Z267" s="150">
        <f t="shared" si="84"/>
        <v>0</v>
      </c>
      <c r="AA267" s="150">
        <f t="shared" si="85"/>
        <v>0</v>
      </c>
      <c r="AB267" s="113">
        <f t="shared" si="86"/>
        <v>0</v>
      </c>
      <c r="AC267" s="36"/>
      <c r="AD267" s="272" t="str">
        <f t="shared" si="87"/>
        <v/>
      </c>
      <c r="AE267" s="273">
        <f t="shared" si="88"/>
        <v>0</v>
      </c>
      <c r="AF267" s="273">
        <f t="shared" si="89"/>
        <v>0</v>
      </c>
      <c r="AG267" s="273">
        <f t="shared" si="90"/>
        <v>0</v>
      </c>
      <c r="AH267" s="273">
        <f t="shared" si="91"/>
        <v>0</v>
      </c>
      <c r="AI267" s="273">
        <f t="shared" si="92"/>
        <v>0</v>
      </c>
      <c r="AJ267" s="273">
        <f t="shared" si="93"/>
        <v>0</v>
      </c>
      <c r="AK267" s="273">
        <f t="shared" si="94"/>
        <v>0</v>
      </c>
      <c r="AL267" s="274">
        <f t="shared" si="95"/>
        <v>0</v>
      </c>
      <c r="AN267" s="75" t="str">
        <f t="shared" si="96"/>
        <v>-</v>
      </c>
      <c r="AO267" s="75" t="str">
        <f t="shared" si="97"/>
        <v>-</v>
      </c>
      <c r="AP267" s="48">
        <f t="shared" si="100"/>
        <v>0</v>
      </c>
      <c r="AQ267" s="48">
        <f t="shared" si="98"/>
        <v>0</v>
      </c>
      <c r="AR267" s="49" t="e">
        <f t="shared" si="99"/>
        <v>#N/A</v>
      </c>
    </row>
    <row r="268" spans="1:44" ht="15">
      <c r="A268" s="38"/>
      <c r="B268" s="38"/>
      <c r="C268" s="38"/>
      <c r="D268" s="38"/>
      <c r="E268" s="38"/>
      <c r="F268" s="38"/>
      <c r="G268" s="47">
        <f t="shared" si="81"/>
        <v>6.5978850116714893E-2</v>
      </c>
      <c r="H268" s="44"/>
      <c r="I268" s="44"/>
      <c r="J268" s="45">
        <f t="shared" si="101"/>
        <v>0</v>
      </c>
      <c r="K268" s="38"/>
      <c r="L268" s="38"/>
      <c r="M268" s="38"/>
      <c r="N268" s="34" t="e">
        <f>VLOOKUP(F268,'GHG Emissions Factors'!$B$2:$C$4000,2,FALSE)</f>
        <v>#N/A</v>
      </c>
      <c r="O268" s="45" t="e">
        <f t="shared" si="82"/>
        <v>#N/A</v>
      </c>
      <c r="P268" s="34">
        <f>IF(L268="yes", 0, _xlfn.XLOOKUP(F268, 'GHG Emissions Factors'!$B$2:$B$4000, 'GHG Emissions Factors'!$D$2:$D$4000, 0))</f>
        <v>0</v>
      </c>
      <c r="Q268" s="46"/>
      <c r="R268" s="46"/>
      <c r="S268" s="46">
        <f>ProcurementAllocationData[[#This Row],[Net MWhs Procured]]-(ProcurementAllocationData[[#This Row],[Deep Green]]+ProcurementAllocationData[[#This Row],[LocalSol]]+ProcurementAllocationData[[#This Row],[GreenAccess]])</f>
        <v>0</v>
      </c>
      <c r="T268" s="46"/>
      <c r="U268" s="46"/>
      <c r="V268" s="46"/>
      <c r="W268" s="46"/>
      <c r="X268" s="46"/>
      <c r="Y268" s="112">
        <f t="shared" si="83"/>
        <v>0</v>
      </c>
      <c r="Z268" s="150">
        <f t="shared" si="84"/>
        <v>0</v>
      </c>
      <c r="AA268" s="150">
        <f t="shared" si="85"/>
        <v>0</v>
      </c>
      <c r="AB268" s="113">
        <f t="shared" si="86"/>
        <v>0</v>
      </c>
      <c r="AC268" s="36"/>
      <c r="AD268" s="272" t="str">
        <f t="shared" si="87"/>
        <v/>
      </c>
      <c r="AE268" s="273">
        <f t="shared" si="88"/>
        <v>0</v>
      </c>
      <c r="AF268" s="273">
        <f t="shared" si="89"/>
        <v>0</v>
      </c>
      <c r="AG268" s="273">
        <f t="shared" si="90"/>
        <v>0</v>
      </c>
      <c r="AH268" s="273">
        <f t="shared" si="91"/>
        <v>0</v>
      </c>
      <c r="AI268" s="273">
        <f t="shared" si="92"/>
        <v>0</v>
      </c>
      <c r="AJ268" s="273">
        <f t="shared" si="93"/>
        <v>0</v>
      </c>
      <c r="AK268" s="273">
        <f t="shared" si="94"/>
        <v>0</v>
      </c>
      <c r="AL268" s="274">
        <f t="shared" si="95"/>
        <v>0</v>
      </c>
      <c r="AN268" s="75" t="str">
        <f t="shared" si="96"/>
        <v>-</v>
      </c>
      <c r="AO268" s="75" t="str">
        <f t="shared" si="97"/>
        <v>-</v>
      </c>
      <c r="AP268" s="48">
        <f t="shared" si="100"/>
        <v>0</v>
      </c>
      <c r="AQ268" s="48">
        <f t="shared" si="98"/>
        <v>0</v>
      </c>
      <c r="AR268" s="49" t="e">
        <f t="shared" si="99"/>
        <v>#N/A</v>
      </c>
    </row>
    <row r="269" spans="1:44" ht="15">
      <c r="A269" s="38"/>
      <c r="B269" s="38"/>
      <c r="C269" s="38"/>
      <c r="D269" s="38"/>
      <c r="E269" s="38"/>
      <c r="F269" s="38"/>
      <c r="G269" s="47">
        <f t="shared" si="81"/>
        <v>6.5978850116714893E-2</v>
      </c>
      <c r="H269" s="44"/>
      <c r="I269" s="44"/>
      <c r="J269" s="45">
        <f t="shared" si="101"/>
        <v>0</v>
      </c>
      <c r="K269" s="38"/>
      <c r="L269" s="38"/>
      <c r="M269" s="38"/>
      <c r="N269" s="34" t="e">
        <f>VLOOKUP(F269,'GHG Emissions Factors'!$B$2:$C$4000,2,FALSE)</f>
        <v>#N/A</v>
      </c>
      <c r="O269" s="45" t="e">
        <f t="shared" si="82"/>
        <v>#N/A</v>
      </c>
      <c r="P269" s="34">
        <f>IF(L269="yes", 0, _xlfn.XLOOKUP(F269, 'GHG Emissions Factors'!$B$2:$B$4000, 'GHG Emissions Factors'!$D$2:$D$4000, 0))</f>
        <v>0</v>
      </c>
      <c r="Q269" s="46"/>
      <c r="R269" s="46"/>
      <c r="S269" s="46">
        <f>ProcurementAllocationData[[#This Row],[Net MWhs Procured]]-(ProcurementAllocationData[[#This Row],[Deep Green]]+ProcurementAllocationData[[#This Row],[LocalSol]]+ProcurementAllocationData[[#This Row],[GreenAccess]])</f>
        <v>0</v>
      </c>
      <c r="T269" s="46"/>
      <c r="U269" s="46"/>
      <c r="V269" s="46"/>
      <c r="W269" s="46"/>
      <c r="X269" s="46"/>
      <c r="Y269" s="112">
        <f t="shared" si="83"/>
        <v>0</v>
      </c>
      <c r="Z269" s="150">
        <f t="shared" si="84"/>
        <v>0</v>
      </c>
      <c r="AA269" s="150">
        <f t="shared" si="85"/>
        <v>0</v>
      </c>
      <c r="AB269" s="113">
        <f t="shared" si="86"/>
        <v>0</v>
      </c>
      <c r="AC269" s="36"/>
      <c r="AD269" s="272" t="str">
        <f t="shared" si="87"/>
        <v/>
      </c>
      <c r="AE269" s="273">
        <f t="shared" si="88"/>
        <v>0</v>
      </c>
      <c r="AF269" s="273">
        <f t="shared" si="89"/>
        <v>0</v>
      </c>
      <c r="AG269" s="273">
        <f t="shared" si="90"/>
        <v>0</v>
      </c>
      <c r="AH269" s="273">
        <f t="shared" si="91"/>
        <v>0</v>
      </c>
      <c r="AI269" s="273">
        <f t="shared" si="92"/>
        <v>0</v>
      </c>
      <c r="AJ269" s="273">
        <f t="shared" si="93"/>
        <v>0</v>
      </c>
      <c r="AK269" s="273">
        <f t="shared" si="94"/>
        <v>0</v>
      </c>
      <c r="AL269" s="274">
        <f t="shared" si="95"/>
        <v>0</v>
      </c>
      <c r="AN269" s="75" t="str">
        <f t="shared" si="96"/>
        <v>-</v>
      </c>
      <c r="AO269" s="75" t="str">
        <f t="shared" si="97"/>
        <v>-</v>
      </c>
      <c r="AP269" s="48">
        <f t="shared" si="100"/>
        <v>0</v>
      </c>
      <c r="AQ269" s="48">
        <f t="shared" si="98"/>
        <v>0</v>
      </c>
      <c r="AR269" s="49" t="e">
        <f t="shared" si="99"/>
        <v>#N/A</v>
      </c>
    </row>
    <row r="270" spans="1:44" ht="15">
      <c r="A270" s="38"/>
      <c r="B270" s="38"/>
      <c r="C270" s="38"/>
      <c r="D270" s="38"/>
      <c r="E270" s="38"/>
      <c r="F270" s="38"/>
      <c r="G270" s="47">
        <f t="shared" si="81"/>
        <v>6.5978850116714893E-2</v>
      </c>
      <c r="H270" s="44"/>
      <c r="I270" s="44"/>
      <c r="J270" s="45">
        <f t="shared" si="101"/>
        <v>0</v>
      </c>
      <c r="K270" s="38"/>
      <c r="L270" s="38"/>
      <c r="M270" s="38"/>
      <c r="N270" s="34" t="e">
        <f>VLOOKUP(F270,'GHG Emissions Factors'!$B$2:$C$4000,2,FALSE)</f>
        <v>#N/A</v>
      </c>
      <c r="O270" s="45" t="e">
        <f t="shared" si="82"/>
        <v>#N/A</v>
      </c>
      <c r="P270" s="34">
        <f>IF(L270="yes", 0, _xlfn.XLOOKUP(F270, 'GHG Emissions Factors'!$B$2:$B$4000, 'GHG Emissions Factors'!$D$2:$D$4000, 0))</f>
        <v>0</v>
      </c>
      <c r="Q270" s="46"/>
      <c r="R270" s="46"/>
      <c r="S270" s="46">
        <f>ProcurementAllocationData[[#This Row],[Net MWhs Procured]]-(ProcurementAllocationData[[#This Row],[Deep Green]]+ProcurementAllocationData[[#This Row],[LocalSol]]+ProcurementAllocationData[[#This Row],[GreenAccess]])</f>
        <v>0</v>
      </c>
      <c r="T270" s="46"/>
      <c r="U270" s="46"/>
      <c r="V270" s="46"/>
      <c r="W270" s="46"/>
      <c r="X270" s="46"/>
      <c r="Y270" s="112">
        <f t="shared" si="83"/>
        <v>0</v>
      </c>
      <c r="Z270" s="150">
        <f t="shared" si="84"/>
        <v>0</v>
      </c>
      <c r="AA270" s="150">
        <f t="shared" si="85"/>
        <v>0</v>
      </c>
      <c r="AB270" s="113">
        <f t="shared" si="86"/>
        <v>0</v>
      </c>
      <c r="AC270" s="36"/>
      <c r="AD270" s="272" t="str">
        <f t="shared" si="87"/>
        <v/>
      </c>
      <c r="AE270" s="273">
        <f t="shared" si="88"/>
        <v>0</v>
      </c>
      <c r="AF270" s="273">
        <f t="shared" si="89"/>
        <v>0</v>
      </c>
      <c r="AG270" s="273">
        <f t="shared" si="90"/>
        <v>0</v>
      </c>
      <c r="AH270" s="273">
        <f t="shared" si="91"/>
        <v>0</v>
      </c>
      <c r="AI270" s="273">
        <f t="shared" si="92"/>
        <v>0</v>
      </c>
      <c r="AJ270" s="273">
        <f t="shared" si="93"/>
        <v>0</v>
      </c>
      <c r="AK270" s="273">
        <f t="shared" si="94"/>
        <v>0</v>
      </c>
      <c r="AL270" s="274">
        <f t="shared" si="95"/>
        <v>0</v>
      </c>
      <c r="AN270" s="75" t="str">
        <f t="shared" si="96"/>
        <v>-</v>
      </c>
      <c r="AO270" s="75" t="str">
        <f t="shared" si="97"/>
        <v>-</v>
      </c>
      <c r="AP270" s="48">
        <f t="shared" si="100"/>
        <v>0</v>
      </c>
      <c r="AQ270" s="48">
        <f t="shared" si="98"/>
        <v>0</v>
      </c>
      <c r="AR270" s="49" t="e">
        <f t="shared" si="99"/>
        <v>#N/A</v>
      </c>
    </row>
    <row r="271" spans="1:44" ht="15">
      <c r="A271" s="38"/>
      <c r="B271" s="38"/>
      <c r="C271" s="38"/>
      <c r="D271" s="38"/>
      <c r="E271" s="38"/>
      <c r="F271" s="38"/>
      <c r="G271" s="47">
        <f t="shared" si="81"/>
        <v>6.5978850116714893E-2</v>
      </c>
      <c r="H271" s="44"/>
      <c r="I271" s="44"/>
      <c r="J271" s="45">
        <f t="shared" si="101"/>
        <v>0</v>
      </c>
      <c r="K271" s="38"/>
      <c r="L271" s="38"/>
      <c r="M271" s="38"/>
      <c r="N271" s="34" t="e">
        <f>VLOOKUP(F271,'GHG Emissions Factors'!$B$2:$C$4000,2,FALSE)</f>
        <v>#N/A</v>
      </c>
      <c r="O271" s="45" t="e">
        <f t="shared" si="82"/>
        <v>#N/A</v>
      </c>
      <c r="P271" s="34">
        <f>IF(L271="yes", 0, _xlfn.XLOOKUP(F271, 'GHG Emissions Factors'!$B$2:$B$4000, 'GHG Emissions Factors'!$D$2:$D$4000, 0))</f>
        <v>0</v>
      </c>
      <c r="Q271" s="46"/>
      <c r="R271" s="46"/>
      <c r="S271" s="46">
        <f>ProcurementAllocationData[[#This Row],[Net MWhs Procured]]-(ProcurementAllocationData[[#This Row],[Deep Green]]+ProcurementAllocationData[[#This Row],[LocalSol]]+ProcurementAllocationData[[#This Row],[GreenAccess]])</f>
        <v>0</v>
      </c>
      <c r="T271" s="46"/>
      <c r="U271" s="46"/>
      <c r="V271" s="46"/>
      <c r="W271" s="46"/>
      <c r="X271" s="46"/>
      <c r="Y271" s="112">
        <f t="shared" si="83"/>
        <v>0</v>
      </c>
      <c r="Z271" s="150">
        <f t="shared" si="84"/>
        <v>0</v>
      </c>
      <c r="AA271" s="150">
        <f t="shared" si="85"/>
        <v>0</v>
      </c>
      <c r="AB271" s="113">
        <f t="shared" si="86"/>
        <v>0</v>
      </c>
      <c r="AC271" s="36"/>
      <c r="AD271" s="272" t="str">
        <f t="shared" si="87"/>
        <v/>
      </c>
      <c r="AE271" s="273">
        <f t="shared" si="88"/>
        <v>0</v>
      </c>
      <c r="AF271" s="273">
        <f t="shared" si="89"/>
        <v>0</v>
      </c>
      <c r="AG271" s="273">
        <f t="shared" si="90"/>
        <v>0</v>
      </c>
      <c r="AH271" s="273">
        <f t="shared" si="91"/>
        <v>0</v>
      </c>
      <c r="AI271" s="273">
        <f t="shared" si="92"/>
        <v>0</v>
      </c>
      <c r="AJ271" s="273">
        <f t="shared" si="93"/>
        <v>0</v>
      </c>
      <c r="AK271" s="273">
        <f t="shared" si="94"/>
        <v>0</v>
      </c>
      <c r="AL271" s="274">
        <f t="shared" si="95"/>
        <v>0</v>
      </c>
      <c r="AN271" s="75" t="str">
        <f t="shared" si="96"/>
        <v>-</v>
      </c>
      <c r="AO271" s="75" t="str">
        <f t="shared" si="97"/>
        <v>-</v>
      </c>
      <c r="AP271" s="48">
        <f t="shared" si="100"/>
        <v>0</v>
      </c>
      <c r="AQ271" s="48">
        <f t="shared" si="98"/>
        <v>0</v>
      </c>
      <c r="AR271" s="49" t="e">
        <f t="shared" si="99"/>
        <v>#N/A</v>
      </c>
    </row>
    <row r="272" spans="1:44" ht="15">
      <c r="A272" s="38"/>
      <c r="B272" s="38"/>
      <c r="C272" s="38"/>
      <c r="D272" s="38"/>
      <c r="E272" s="38"/>
      <c r="F272" s="38"/>
      <c r="G272" s="47">
        <f t="shared" si="81"/>
        <v>6.5978850116714893E-2</v>
      </c>
      <c r="H272" s="44"/>
      <c r="I272" s="44"/>
      <c r="J272" s="45">
        <f t="shared" si="101"/>
        <v>0</v>
      </c>
      <c r="K272" s="38"/>
      <c r="L272" s="38"/>
      <c r="M272" s="38"/>
      <c r="N272" s="34" t="e">
        <f>VLOOKUP(F272,'GHG Emissions Factors'!$B$2:$C$4000,2,FALSE)</f>
        <v>#N/A</v>
      </c>
      <c r="O272" s="45" t="e">
        <f t="shared" si="82"/>
        <v>#N/A</v>
      </c>
      <c r="P272" s="34">
        <f>IF(L272="yes", 0, _xlfn.XLOOKUP(F272, 'GHG Emissions Factors'!$B$2:$B$4000, 'GHG Emissions Factors'!$D$2:$D$4000, 0))</f>
        <v>0</v>
      </c>
      <c r="Q272" s="46"/>
      <c r="R272" s="46"/>
      <c r="S272" s="46">
        <f>ProcurementAllocationData[[#This Row],[Net MWhs Procured]]-(ProcurementAllocationData[[#This Row],[Deep Green]]+ProcurementAllocationData[[#This Row],[LocalSol]]+ProcurementAllocationData[[#This Row],[GreenAccess]])</f>
        <v>0</v>
      </c>
      <c r="T272" s="46"/>
      <c r="U272" s="46"/>
      <c r="V272" s="46"/>
      <c r="W272" s="46"/>
      <c r="X272" s="46"/>
      <c r="Y272" s="112">
        <f t="shared" si="83"/>
        <v>0</v>
      </c>
      <c r="Z272" s="150">
        <f t="shared" si="84"/>
        <v>0</v>
      </c>
      <c r="AA272" s="150">
        <f t="shared" si="85"/>
        <v>0</v>
      </c>
      <c r="AB272" s="113">
        <f t="shared" si="86"/>
        <v>0</v>
      </c>
      <c r="AC272" s="36"/>
      <c r="AD272" s="272" t="str">
        <f t="shared" si="87"/>
        <v/>
      </c>
      <c r="AE272" s="273">
        <f t="shared" si="88"/>
        <v>0</v>
      </c>
      <c r="AF272" s="273">
        <f t="shared" si="89"/>
        <v>0</v>
      </c>
      <c r="AG272" s="273">
        <f t="shared" si="90"/>
        <v>0</v>
      </c>
      <c r="AH272" s="273">
        <f t="shared" si="91"/>
        <v>0</v>
      </c>
      <c r="AI272" s="273">
        <f t="shared" si="92"/>
        <v>0</v>
      </c>
      <c r="AJ272" s="273">
        <f t="shared" si="93"/>
        <v>0</v>
      </c>
      <c r="AK272" s="273">
        <f t="shared" si="94"/>
        <v>0</v>
      </c>
      <c r="AL272" s="274">
        <f t="shared" si="95"/>
        <v>0</v>
      </c>
      <c r="AN272" s="75" t="str">
        <f t="shared" si="96"/>
        <v>-</v>
      </c>
      <c r="AO272" s="75" t="str">
        <f t="shared" si="97"/>
        <v>-</v>
      </c>
      <c r="AP272" s="48">
        <f t="shared" si="100"/>
        <v>0</v>
      </c>
      <c r="AQ272" s="48">
        <f t="shared" si="98"/>
        <v>0</v>
      </c>
      <c r="AR272" s="49" t="e">
        <f t="shared" si="99"/>
        <v>#N/A</v>
      </c>
    </row>
    <row r="273" spans="1:44" ht="15">
      <c r="A273" s="38"/>
      <c r="B273" s="38"/>
      <c r="C273" s="38"/>
      <c r="D273" s="38"/>
      <c r="E273" s="38"/>
      <c r="F273" s="38"/>
      <c r="G273" s="47">
        <f t="shared" si="81"/>
        <v>6.5978850116714893E-2</v>
      </c>
      <c r="H273" s="44"/>
      <c r="I273" s="44"/>
      <c r="J273" s="45">
        <f t="shared" si="101"/>
        <v>0</v>
      </c>
      <c r="K273" s="38"/>
      <c r="L273" s="38"/>
      <c r="M273" s="38"/>
      <c r="N273" s="34" t="e">
        <f>VLOOKUP(F273,'GHG Emissions Factors'!$B$2:$C$4000,2,FALSE)</f>
        <v>#N/A</v>
      </c>
      <c r="O273" s="45" t="e">
        <f t="shared" si="82"/>
        <v>#N/A</v>
      </c>
      <c r="P273" s="34">
        <f>IF(L273="yes", 0, _xlfn.XLOOKUP(F273, 'GHG Emissions Factors'!$B$2:$B$4000, 'GHG Emissions Factors'!$D$2:$D$4000, 0))</f>
        <v>0</v>
      </c>
      <c r="Q273" s="46"/>
      <c r="R273" s="46"/>
      <c r="S273" s="46">
        <f>ProcurementAllocationData[[#This Row],[Net MWhs Procured]]-(ProcurementAllocationData[[#This Row],[Deep Green]]+ProcurementAllocationData[[#This Row],[LocalSol]]+ProcurementAllocationData[[#This Row],[GreenAccess]])</f>
        <v>0</v>
      </c>
      <c r="T273" s="46"/>
      <c r="U273" s="46"/>
      <c r="V273" s="46"/>
      <c r="W273" s="46"/>
      <c r="X273" s="46"/>
      <c r="Y273" s="112">
        <f t="shared" si="83"/>
        <v>0</v>
      </c>
      <c r="Z273" s="150">
        <f t="shared" si="84"/>
        <v>0</v>
      </c>
      <c r="AA273" s="150">
        <f t="shared" si="85"/>
        <v>0</v>
      </c>
      <c r="AB273" s="113">
        <f t="shared" si="86"/>
        <v>0</v>
      </c>
      <c r="AC273" s="36"/>
      <c r="AD273" s="272" t="str">
        <f t="shared" si="87"/>
        <v/>
      </c>
      <c r="AE273" s="273">
        <f t="shared" si="88"/>
        <v>0</v>
      </c>
      <c r="AF273" s="273">
        <f t="shared" si="89"/>
        <v>0</v>
      </c>
      <c r="AG273" s="273">
        <f t="shared" si="90"/>
        <v>0</v>
      </c>
      <c r="AH273" s="273">
        <f t="shared" si="91"/>
        <v>0</v>
      </c>
      <c r="AI273" s="273">
        <f t="shared" si="92"/>
        <v>0</v>
      </c>
      <c r="AJ273" s="273">
        <f t="shared" si="93"/>
        <v>0</v>
      </c>
      <c r="AK273" s="273">
        <f t="shared" si="94"/>
        <v>0</v>
      </c>
      <c r="AL273" s="274">
        <f t="shared" si="95"/>
        <v>0</v>
      </c>
      <c r="AN273" s="75" t="str">
        <f t="shared" si="96"/>
        <v>-</v>
      </c>
      <c r="AO273" s="75" t="str">
        <f t="shared" si="97"/>
        <v>-</v>
      </c>
      <c r="AP273" s="48">
        <f t="shared" si="100"/>
        <v>0</v>
      </c>
      <c r="AQ273" s="48">
        <f t="shared" si="98"/>
        <v>0</v>
      </c>
      <c r="AR273" s="49" t="e">
        <f t="shared" si="99"/>
        <v>#N/A</v>
      </c>
    </row>
    <row r="274" spans="1:44" ht="15">
      <c r="A274" s="38"/>
      <c r="B274" s="38"/>
      <c r="C274" s="38"/>
      <c r="D274" s="38"/>
      <c r="E274" s="38"/>
      <c r="F274" s="38"/>
      <c r="G274" s="47">
        <f t="shared" si="81"/>
        <v>6.5978850116714893E-2</v>
      </c>
      <c r="H274" s="44"/>
      <c r="I274" s="44"/>
      <c r="J274" s="45">
        <f t="shared" si="101"/>
        <v>0</v>
      </c>
      <c r="K274" s="38"/>
      <c r="L274" s="38"/>
      <c r="M274" s="38"/>
      <c r="N274" s="34" t="e">
        <f>VLOOKUP(F274,'GHG Emissions Factors'!$B$2:$C$4000,2,FALSE)</f>
        <v>#N/A</v>
      </c>
      <c r="O274" s="45" t="e">
        <f t="shared" si="82"/>
        <v>#N/A</v>
      </c>
      <c r="P274" s="34">
        <f>IF(L274="yes", 0, _xlfn.XLOOKUP(F274, 'GHG Emissions Factors'!$B$2:$B$4000, 'GHG Emissions Factors'!$D$2:$D$4000, 0))</f>
        <v>0</v>
      </c>
      <c r="Q274" s="46"/>
      <c r="R274" s="46"/>
      <c r="S274" s="46">
        <f>ProcurementAllocationData[[#This Row],[Net MWhs Procured]]-(ProcurementAllocationData[[#This Row],[Deep Green]]+ProcurementAllocationData[[#This Row],[LocalSol]]+ProcurementAllocationData[[#This Row],[GreenAccess]])</f>
        <v>0</v>
      </c>
      <c r="T274" s="46"/>
      <c r="U274" s="46"/>
      <c r="V274" s="46"/>
      <c r="W274" s="46"/>
      <c r="X274" s="46"/>
      <c r="Y274" s="112">
        <f t="shared" si="83"/>
        <v>0</v>
      </c>
      <c r="Z274" s="150">
        <f t="shared" si="84"/>
        <v>0</v>
      </c>
      <c r="AA274" s="150">
        <f t="shared" si="85"/>
        <v>0</v>
      </c>
      <c r="AB274" s="113">
        <f t="shared" si="86"/>
        <v>0</v>
      </c>
      <c r="AC274" s="36"/>
      <c r="AD274" s="272" t="str">
        <f t="shared" si="87"/>
        <v/>
      </c>
      <c r="AE274" s="273">
        <f t="shared" si="88"/>
        <v>0</v>
      </c>
      <c r="AF274" s="273">
        <f t="shared" si="89"/>
        <v>0</v>
      </c>
      <c r="AG274" s="273">
        <f t="shared" si="90"/>
        <v>0</v>
      </c>
      <c r="AH274" s="273">
        <f t="shared" si="91"/>
        <v>0</v>
      </c>
      <c r="AI274" s="273">
        <f t="shared" si="92"/>
        <v>0</v>
      </c>
      <c r="AJ274" s="273">
        <f t="shared" si="93"/>
        <v>0</v>
      </c>
      <c r="AK274" s="273">
        <f t="shared" si="94"/>
        <v>0</v>
      </c>
      <c r="AL274" s="274">
        <f t="shared" si="95"/>
        <v>0</v>
      </c>
      <c r="AN274" s="75" t="str">
        <f t="shared" si="96"/>
        <v>-</v>
      </c>
      <c r="AO274" s="75" t="str">
        <f t="shared" si="97"/>
        <v>-</v>
      </c>
      <c r="AP274" s="48">
        <f t="shared" si="100"/>
        <v>0</v>
      </c>
      <c r="AQ274" s="48">
        <f t="shared" si="98"/>
        <v>0</v>
      </c>
      <c r="AR274" s="49" t="e">
        <f t="shared" si="99"/>
        <v>#N/A</v>
      </c>
    </row>
    <row r="275" spans="1:44" ht="15">
      <c r="A275" s="38"/>
      <c r="B275" s="38"/>
      <c r="C275" s="38"/>
      <c r="D275" s="38"/>
      <c r="E275" s="38"/>
      <c r="F275" s="38"/>
      <c r="G275" s="47">
        <f t="shared" si="81"/>
        <v>6.5978850116714893E-2</v>
      </c>
      <c r="H275" s="44"/>
      <c r="I275" s="44"/>
      <c r="J275" s="45">
        <f t="shared" si="101"/>
        <v>0</v>
      </c>
      <c r="K275" s="38"/>
      <c r="L275" s="38"/>
      <c r="M275" s="38"/>
      <c r="N275" s="34" t="e">
        <f>VLOOKUP(F275,'GHG Emissions Factors'!$B$2:$C$4000,2,FALSE)</f>
        <v>#N/A</v>
      </c>
      <c r="O275" s="45" t="e">
        <f t="shared" si="82"/>
        <v>#N/A</v>
      </c>
      <c r="P275" s="34">
        <f>IF(L275="yes", 0, _xlfn.XLOOKUP(F275, 'GHG Emissions Factors'!$B$2:$B$4000, 'GHG Emissions Factors'!$D$2:$D$4000, 0))</f>
        <v>0</v>
      </c>
      <c r="Q275" s="46"/>
      <c r="R275" s="46"/>
      <c r="S275" s="46">
        <f>ProcurementAllocationData[[#This Row],[Net MWhs Procured]]-(ProcurementAllocationData[[#This Row],[Deep Green]]+ProcurementAllocationData[[#This Row],[LocalSol]]+ProcurementAllocationData[[#This Row],[GreenAccess]])</f>
        <v>0</v>
      </c>
      <c r="T275" s="46"/>
      <c r="U275" s="46"/>
      <c r="V275" s="46"/>
      <c r="W275" s="46"/>
      <c r="X275" s="46"/>
      <c r="Y275" s="112">
        <f t="shared" si="83"/>
        <v>0</v>
      </c>
      <c r="Z275" s="150">
        <f t="shared" si="84"/>
        <v>0</v>
      </c>
      <c r="AA275" s="150">
        <f t="shared" si="85"/>
        <v>0</v>
      </c>
      <c r="AB275" s="113">
        <f t="shared" si="86"/>
        <v>0</v>
      </c>
      <c r="AC275" s="36"/>
      <c r="AD275" s="272" t="str">
        <f t="shared" si="87"/>
        <v/>
      </c>
      <c r="AE275" s="273">
        <f t="shared" si="88"/>
        <v>0</v>
      </c>
      <c r="AF275" s="273">
        <f t="shared" si="89"/>
        <v>0</v>
      </c>
      <c r="AG275" s="273">
        <f t="shared" si="90"/>
        <v>0</v>
      </c>
      <c r="AH275" s="273">
        <f t="shared" si="91"/>
        <v>0</v>
      </c>
      <c r="AI275" s="273">
        <f t="shared" si="92"/>
        <v>0</v>
      </c>
      <c r="AJ275" s="273">
        <f t="shared" si="93"/>
        <v>0</v>
      </c>
      <c r="AK275" s="273">
        <f t="shared" si="94"/>
        <v>0</v>
      </c>
      <c r="AL275" s="274">
        <f t="shared" si="95"/>
        <v>0</v>
      </c>
      <c r="AN275" s="75" t="str">
        <f t="shared" si="96"/>
        <v>-</v>
      </c>
      <c r="AO275" s="75" t="str">
        <f t="shared" si="97"/>
        <v>-</v>
      </c>
      <c r="AP275" s="48">
        <f t="shared" si="100"/>
        <v>0</v>
      </c>
      <c r="AQ275" s="48">
        <f t="shared" si="98"/>
        <v>0</v>
      </c>
      <c r="AR275" s="49" t="e">
        <f t="shared" si="99"/>
        <v>#N/A</v>
      </c>
    </row>
    <row r="276" spans="1:44" ht="15">
      <c r="A276" s="38"/>
      <c r="B276" s="38"/>
      <c r="C276" s="38"/>
      <c r="D276" s="38"/>
      <c r="E276" s="38"/>
      <c r="F276" s="38"/>
      <c r="G276" s="47">
        <f t="shared" si="81"/>
        <v>6.5978850116714893E-2</v>
      </c>
      <c r="H276" s="44"/>
      <c r="I276" s="44"/>
      <c r="J276" s="45">
        <f t="shared" si="101"/>
        <v>0</v>
      </c>
      <c r="K276" s="38"/>
      <c r="L276" s="38"/>
      <c r="M276" s="38"/>
      <c r="N276" s="34" t="e">
        <f>VLOOKUP(F276,'GHG Emissions Factors'!$B$2:$C$4000,2,FALSE)</f>
        <v>#N/A</v>
      </c>
      <c r="O276" s="45" t="e">
        <f t="shared" si="82"/>
        <v>#N/A</v>
      </c>
      <c r="P276" s="34">
        <f>IF(L276="yes", 0, _xlfn.XLOOKUP(F276, 'GHG Emissions Factors'!$B$2:$B$4000, 'GHG Emissions Factors'!$D$2:$D$4000, 0))</f>
        <v>0</v>
      </c>
      <c r="Q276" s="46"/>
      <c r="R276" s="46"/>
      <c r="S276" s="46">
        <f>ProcurementAllocationData[[#This Row],[Net MWhs Procured]]-(ProcurementAllocationData[[#This Row],[Deep Green]]+ProcurementAllocationData[[#This Row],[LocalSol]]+ProcurementAllocationData[[#This Row],[GreenAccess]])</f>
        <v>0</v>
      </c>
      <c r="T276" s="46"/>
      <c r="U276" s="46"/>
      <c r="V276" s="46"/>
      <c r="W276" s="46"/>
      <c r="X276" s="46"/>
      <c r="Y276" s="112">
        <f t="shared" si="83"/>
        <v>0</v>
      </c>
      <c r="Z276" s="150">
        <f t="shared" si="84"/>
        <v>0</v>
      </c>
      <c r="AA276" s="150">
        <f t="shared" si="85"/>
        <v>0</v>
      </c>
      <c r="AB276" s="113">
        <f t="shared" si="86"/>
        <v>0</v>
      </c>
      <c r="AC276" s="36"/>
      <c r="AD276" s="272" t="str">
        <f t="shared" si="87"/>
        <v/>
      </c>
      <c r="AE276" s="273">
        <f t="shared" si="88"/>
        <v>0</v>
      </c>
      <c r="AF276" s="273">
        <f t="shared" si="89"/>
        <v>0</v>
      </c>
      <c r="AG276" s="273">
        <f t="shared" si="90"/>
        <v>0</v>
      </c>
      <c r="AH276" s="273">
        <f t="shared" si="91"/>
        <v>0</v>
      </c>
      <c r="AI276" s="273">
        <f t="shared" si="92"/>
        <v>0</v>
      </c>
      <c r="AJ276" s="273">
        <f t="shared" si="93"/>
        <v>0</v>
      </c>
      <c r="AK276" s="273">
        <f t="shared" si="94"/>
        <v>0</v>
      </c>
      <c r="AL276" s="274">
        <f t="shared" si="95"/>
        <v>0</v>
      </c>
      <c r="AN276" s="75" t="str">
        <f t="shared" si="96"/>
        <v>-</v>
      </c>
      <c r="AO276" s="75" t="str">
        <f t="shared" si="97"/>
        <v>-</v>
      </c>
      <c r="AP276" s="48">
        <f t="shared" si="100"/>
        <v>0</v>
      </c>
      <c r="AQ276" s="48">
        <f t="shared" si="98"/>
        <v>0</v>
      </c>
      <c r="AR276" s="49" t="e">
        <f t="shared" si="99"/>
        <v>#N/A</v>
      </c>
    </row>
    <row r="277" spans="1:44" ht="15">
      <c r="A277" s="38"/>
      <c r="B277" s="38"/>
      <c r="C277" s="38"/>
      <c r="D277" s="38"/>
      <c r="E277" s="38"/>
      <c r="F277" s="38"/>
      <c r="G277" s="47">
        <f t="shared" si="81"/>
        <v>6.5978850116714893E-2</v>
      </c>
      <c r="H277" s="44"/>
      <c r="I277" s="44"/>
      <c r="J277" s="45">
        <f t="shared" si="101"/>
        <v>0</v>
      </c>
      <c r="K277" s="38"/>
      <c r="L277" s="38"/>
      <c r="M277" s="38"/>
      <c r="N277" s="34" t="e">
        <f>VLOOKUP(F277,'GHG Emissions Factors'!$B$2:$C$4000,2,FALSE)</f>
        <v>#N/A</v>
      </c>
      <c r="O277" s="45" t="e">
        <f t="shared" si="82"/>
        <v>#N/A</v>
      </c>
      <c r="P277" s="34">
        <f>IF(L277="yes", 0, _xlfn.XLOOKUP(F277, 'GHG Emissions Factors'!$B$2:$B$4000, 'GHG Emissions Factors'!$D$2:$D$4000, 0))</f>
        <v>0</v>
      </c>
      <c r="Q277" s="46"/>
      <c r="R277" s="46"/>
      <c r="S277" s="46">
        <f>ProcurementAllocationData[[#This Row],[Net MWhs Procured]]-(ProcurementAllocationData[[#This Row],[Deep Green]]+ProcurementAllocationData[[#This Row],[LocalSol]]+ProcurementAllocationData[[#This Row],[GreenAccess]])</f>
        <v>0</v>
      </c>
      <c r="T277" s="46"/>
      <c r="U277" s="46"/>
      <c r="V277" s="46"/>
      <c r="W277" s="46"/>
      <c r="X277" s="46"/>
      <c r="Y277" s="112">
        <f t="shared" si="83"/>
        <v>0</v>
      </c>
      <c r="Z277" s="150">
        <f t="shared" si="84"/>
        <v>0</v>
      </c>
      <c r="AA277" s="150">
        <f t="shared" si="85"/>
        <v>0</v>
      </c>
      <c r="AB277" s="113">
        <f t="shared" si="86"/>
        <v>0</v>
      </c>
      <c r="AC277" s="36"/>
      <c r="AD277" s="272" t="str">
        <f t="shared" si="87"/>
        <v/>
      </c>
      <c r="AE277" s="273">
        <f t="shared" si="88"/>
        <v>0</v>
      </c>
      <c r="AF277" s="273">
        <f t="shared" si="89"/>
        <v>0</v>
      </c>
      <c r="AG277" s="273">
        <f t="shared" si="90"/>
        <v>0</v>
      </c>
      <c r="AH277" s="273">
        <f t="shared" si="91"/>
        <v>0</v>
      </c>
      <c r="AI277" s="273">
        <f t="shared" si="92"/>
        <v>0</v>
      </c>
      <c r="AJ277" s="273">
        <f t="shared" si="93"/>
        <v>0</v>
      </c>
      <c r="AK277" s="273">
        <f t="shared" si="94"/>
        <v>0</v>
      </c>
      <c r="AL277" s="274">
        <f t="shared" si="95"/>
        <v>0</v>
      </c>
      <c r="AN277" s="75" t="str">
        <f t="shared" si="96"/>
        <v>-</v>
      </c>
      <c r="AO277" s="75" t="str">
        <f t="shared" si="97"/>
        <v>-</v>
      </c>
      <c r="AP277" s="48">
        <f t="shared" si="100"/>
        <v>0</v>
      </c>
      <c r="AQ277" s="48">
        <f t="shared" si="98"/>
        <v>0</v>
      </c>
      <c r="AR277" s="49" t="e">
        <f t="shared" si="99"/>
        <v>#N/A</v>
      </c>
    </row>
    <row r="278" spans="1:44" ht="15">
      <c r="A278" s="38"/>
      <c r="B278" s="38"/>
      <c r="C278" s="38"/>
      <c r="D278" s="38"/>
      <c r="E278" s="38"/>
      <c r="F278" s="38"/>
      <c r="G278" s="47">
        <f t="shared" si="81"/>
        <v>6.5978850116714893E-2</v>
      </c>
      <c r="H278" s="44"/>
      <c r="I278" s="44"/>
      <c r="J278" s="45">
        <f t="shared" si="101"/>
        <v>0</v>
      </c>
      <c r="K278" s="38"/>
      <c r="L278" s="38"/>
      <c r="M278" s="38"/>
      <c r="N278" s="34" t="e">
        <f>VLOOKUP(F278,'GHG Emissions Factors'!$B$2:$C$4000,2,FALSE)</f>
        <v>#N/A</v>
      </c>
      <c r="O278" s="45" t="e">
        <f t="shared" si="82"/>
        <v>#N/A</v>
      </c>
      <c r="P278" s="34">
        <f>IF(L278="yes", 0, _xlfn.XLOOKUP(F278, 'GHG Emissions Factors'!$B$2:$B$4000, 'GHG Emissions Factors'!$D$2:$D$4000, 0))</f>
        <v>0</v>
      </c>
      <c r="Q278" s="46"/>
      <c r="R278" s="46"/>
      <c r="S278" s="46">
        <f>ProcurementAllocationData[[#This Row],[Net MWhs Procured]]-(ProcurementAllocationData[[#This Row],[Deep Green]]+ProcurementAllocationData[[#This Row],[LocalSol]]+ProcurementAllocationData[[#This Row],[GreenAccess]])</f>
        <v>0</v>
      </c>
      <c r="T278" s="46"/>
      <c r="U278" s="46"/>
      <c r="V278" s="46"/>
      <c r="W278" s="46"/>
      <c r="X278" s="46"/>
      <c r="Y278" s="112">
        <f t="shared" si="83"/>
        <v>0</v>
      </c>
      <c r="Z278" s="150">
        <f t="shared" si="84"/>
        <v>0</v>
      </c>
      <c r="AA278" s="150">
        <f t="shared" si="85"/>
        <v>0</v>
      </c>
      <c r="AB278" s="113">
        <f t="shared" si="86"/>
        <v>0</v>
      </c>
      <c r="AC278" s="36"/>
      <c r="AD278" s="272" t="str">
        <f t="shared" si="87"/>
        <v/>
      </c>
      <c r="AE278" s="273">
        <f t="shared" si="88"/>
        <v>0</v>
      </c>
      <c r="AF278" s="273">
        <f t="shared" si="89"/>
        <v>0</v>
      </c>
      <c r="AG278" s="273">
        <f t="shared" si="90"/>
        <v>0</v>
      </c>
      <c r="AH278" s="273">
        <f t="shared" si="91"/>
        <v>0</v>
      </c>
      <c r="AI278" s="273">
        <f t="shared" si="92"/>
        <v>0</v>
      </c>
      <c r="AJ278" s="273">
        <f t="shared" si="93"/>
        <v>0</v>
      </c>
      <c r="AK278" s="273">
        <f t="shared" si="94"/>
        <v>0</v>
      </c>
      <c r="AL278" s="274">
        <f t="shared" si="95"/>
        <v>0</v>
      </c>
      <c r="AN278" s="75" t="str">
        <f t="shared" si="96"/>
        <v>-</v>
      </c>
      <c r="AO278" s="75" t="str">
        <f t="shared" si="97"/>
        <v>-</v>
      </c>
      <c r="AP278" s="48">
        <f t="shared" si="100"/>
        <v>0</v>
      </c>
      <c r="AQ278" s="48">
        <f t="shared" si="98"/>
        <v>0</v>
      </c>
      <c r="AR278" s="49" t="e">
        <f t="shared" si="99"/>
        <v>#N/A</v>
      </c>
    </row>
    <row r="279" spans="1:44" ht="15">
      <c r="A279" s="38"/>
      <c r="B279" s="38"/>
      <c r="C279" s="38"/>
      <c r="D279" s="38"/>
      <c r="E279" s="38"/>
      <c r="F279" s="38"/>
      <c r="G279" s="47">
        <f t="shared" si="81"/>
        <v>6.5978850116714893E-2</v>
      </c>
      <c r="H279" s="44"/>
      <c r="I279" s="44"/>
      <c r="J279" s="45">
        <f t="shared" si="101"/>
        <v>0</v>
      </c>
      <c r="K279" s="38"/>
      <c r="L279" s="38"/>
      <c r="M279" s="38"/>
      <c r="N279" s="34" t="e">
        <f>VLOOKUP(F279,'GHG Emissions Factors'!$B$2:$C$4000,2,FALSE)</f>
        <v>#N/A</v>
      </c>
      <c r="O279" s="45" t="e">
        <f t="shared" si="82"/>
        <v>#N/A</v>
      </c>
      <c r="P279" s="34">
        <f>IF(L279="yes", 0, _xlfn.XLOOKUP(F279, 'GHG Emissions Factors'!$B$2:$B$4000, 'GHG Emissions Factors'!$D$2:$D$4000, 0))</f>
        <v>0</v>
      </c>
      <c r="Q279" s="46"/>
      <c r="R279" s="46"/>
      <c r="S279" s="46">
        <f>ProcurementAllocationData[[#This Row],[Net MWhs Procured]]-(ProcurementAllocationData[[#This Row],[Deep Green]]+ProcurementAllocationData[[#This Row],[LocalSol]]+ProcurementAllocationData[[#This Row],[GreenAccess]])</f>
        <v>0</v>
      </c>
      <c r="T279" s="46"/>
      <c r="U279" s="46"/>
      <c r="V279" s="46"/>
      <c r="W279" s="46"/>
      <c r="X279" s="46"/>
      <c r="Y279" s="112">
        <f t="shared" si="83"/>
        <v>0</v>
      </c>
      <c r="Z279" s="150">
        <f t="shared" si="84"/>
        <v>0</v>
      </c>
      <c r="AA279" s="150">
        <f t="shared" si="85"/>
        <v>0</v>
      </c>
      <c r="AB279" s="113">
        <f t="shared" si="86"/>
        <v>0</v>
      </c>
      <c r="AC279" s="36"/>
      <c r="AD279" s="272" t="str">
        <f t="shared" si="87"/>
        <v/>
      </c>
      <c r="AE279" s="273">
        <f t="shared" si="88"/>
        <v>0</v>
      </c>
      <c r="AF279" s="273">
        <f t="shared" si="89"/>
        <v>0</v>
      </c>
      <c r="AG279" s="273">
        <f t="shared" si="90"/>
        <v>0</v>
      </c>
      <c r="AH279" s="273">
        <f t="shared" si="91"/>
        <v>0</v>
      </c>
      <c r="AI279" s="273">
        <f t="shared" si="92"/>
        <v>0</v>
      </c>
      <c r="AJ279" s="273">
        <f t="shared" si="93"/>
        <v>0</v>
      </c>
      <c r="AK279" s="273">
        <f t="shared" si="94"/>
        <v>0</v>
      </c>
      <c r="AL279" s="274">
        <f t="shared" si="95"/>
        <v>0</v>
      </c>
      <c r="AN279" s="75" t="str">
        <f t="shared" si="96"/>
        <v>-</v>
      </c>
      <c r="AO279" s="75" t="str">
        <f t="shared" si="97"/>
        <v>-</v>
      </c>
      <c r="AP279" s="48">
        <f t="shared" si="100"/>
        <v>0</v>
      </c>
      <c r="AQ279" s="48">
        <f t="shared" si="98"/>
        <v>0</v>
      </c>
      <c r="AR279" s="49" t="e">
        <f t="shared" si="99"/>
        <v>#N/A</v>
      </c>
    </row>
    <row r="280" spans="1:44" ht="15">
      <c r="A280" s="38"/>
      <c r="B280" s="38"/>
      <c r="C280" s="38"/>
      <c r="D280" s="38"/>
      <c r="E280" s="38"/>
      <c r="F280" s="38"/>
      <c r="G280" s="47">
        <f t="shared" si="81"/>
        <v>6.5978850116714893E-2</v>
      </c>
      <c r="H280" s="44"/>
      <c r="I280" s="44"/>
      <c r="J280" s="45">
        <f t="shared" si="101"/>
        <v>0</v>
      </c>
      <c r="K280" s="38"/>
      <c r="L280" s="38"/>
      <c r="M280" s="38"/>
      <c r="N280" s="34" t="e">
        <f>VLOOKUP(F280,'GHG Emissions Factors'!$B$2:$C$4000,2,FALSE)</f>
        <v>#N/A</v>
      </c>
      <c r="O280" s="45" t="e">
        <f t="shared" si="82"/>
        <v>#N/A</v>
      </c>
      <c r="P280" s="34">
        <f>IF(L280="yes", 0, _xlfn.XLOOKUP(F280, 'GHG Emissions Factors'!$B$2:$B$4000, 'GHG Emissions Factors'!$D$2:$D$4000, 0))</f>
        <v>0</v>
      </c>
      <c r="Q280" s="46"/>
      <c r="R280" s="46"/>
      <c r="S280" s="46">
        <f>ProcurementAllocationData[[#This Row],[Net MWhs Procured]]-(ProcurementAllocationData[[#This Row],[Deep Green]]+ProcurementAllocationData[[#This Row],[LocalSol]]+ProcurementAllocationData[[#This Row],[GreenAccess]])</f>
        <v>0</v>
      </c>
      <c r="T280" s="46"/>
      <c r="U280" s="46"/>
      <c r="V280" s="46"/>
      <c r="W280" s="46"/>
      <c r="X280" s="46"/>
      <c r="Y280" s="112">
        <f t="shared" si="83"/>
        <v>0</v>
      </c>
      <c r="Z280" s="150">
        <f t="shared" si="84"/>
        <v>0</v>
      </c>
      <c r="AA280" s="150">
        <f t="shared" si="85"/>
        <v>0</v>
      </c>
      <c r="AB280" s="113">
        <f t="shared" si="86"/>
        <v>0</v>
      </c>
      <c r="AC280" s="36"/>
      <c r="AD280" s="272" t="str">
        <f t="shared" si="87"/>
        <v/>
      </c>
      <c r="AE280" s="273">
        <f t="shared" si="88"/>
        <v>0</v>
      </c>
      <c r="AF280" s="273">
        <f t="shared" si="89"/>
        <v>0</v>
      </c>
      <c r="AG280" s="273">
        <f t="shared" si="90"/>
        <v>0</v>
      </c>
      <c r="AH280" s="273">
        <f t="shared" si="91"/>
        <v>0</v>
      </c>
      <c r="AI280" s="273">
        <f t="shared" si="92"/>
        <v>0</v>
      </c>
      <c r="AJ280" s="273">
        <f t="shared" si="93"/>
        <v>0</v>
      </c>
      <c r="AK280" s="273">
        <f t="shared" si="94"/>
        <v>0</v>
      </c>
      <c r="AL280" s="274">
        <f t="shared" si="95"/>
        <v>0</v>
      </c>
      <c r="AN280" s="75" t="str">
        <f t="shared" si="96"/>
        <v>-</v>
      </c>
      <c r="AO280" s="75" t="str">
        <f t="shared" si="97"/>
        <v>-</v>
      </c>
      <c r="AP280" s="48">
        <f t="shared" si="100"/>
        <v>0</v>
      </c>
      <c r="AQ280" s="48">
        <f t="shared" si="98"/>
        <v>0</v>
      </c>
      <c r="AR280" s="49" t="e">
        <f t="shared" si="99"/>
        <v>#N/A</v>
      </c>
    </row>
    <row r="281" spans="1:44" ht="15">
      <c r="A281" s="38"/>
      <c r="B281" s="38"/>
      <c r="C281" s="38"/>
      <c r="D281" s="38"/>
      <c r="E281" s="38"/>
      <c r="F281" s="38"/>
      <c r="G281" s="47">
        <f t="shared" si="81"/>
        <v>6.5978850116714893E-2</v>
      </c>
      <c r="H281" s="44"/>
      <c r="I281" s="44"/>
      <c r="J281" s="45">
        <f t="shared" si="101"/>
        <v>0</v>
      </c>
      <c r="K281" s="38"/>
      <c r="L281" s="38"/>
      <c r="M281" s="38"/>
      <c r="N281" s="34" t="e">
        <f>VLOOKUP(F281,'GHG Emissions Factors'!$B$2:$C$4000,2,FALSE)</f>
        <v>#N/A</v>
      </c>
      <c r="O281" s="45" t="e">
        <f t="shared" si="82"/>
        <v>#N/A</v>
      </c>
      <c r="P281" s="34">
        <f>IF(L281="yes", 0, _xlfn.XLOOKUP(F281, 'GHG Emissions Factors'!$B$2:$B$4000, 'GHG Emissions Factors'!$D$2:$D$4000, 0))</f>
        <v>0</v>
      </c>
      <c r="Q281" s="46"/>
      <c r="R281" s="46"/>
      <c r="S281" s="46">
        <f>ProcurementAllocationData[[#This Row],[Net MWhs Procured]]-(ProcurementAllocationData[[#This Row],[Deep Green]]+ProcurementAllocationData[[#This Row],[LocalSol]]+ProcurementAllocationData[[#This Row],[GreenAccess]])</f>
        <v>0</v>
      </c>
      <c r="T281" s="46"/>
      <c r="U281" s="46"/>
      <c r="V281" s="46"/>
      <c r="W281" s="46"/>
      <c r="X281" s="46"/>
      <c r="Y281" s="112">
        <f t="shared" si="83"/>
        <v>0</v>
      </c>
      <c r="Z281" s="150">
        <f t="shared" si="84"/>
        <v>0</v>
      </c>
      <c r="AA281" s="150">
        <f t="shared" si="85"/>
        <v>0</v>
      </c>
      <c r="AB281" s="113">
        <f t="shared" si="86"/>
        <v>0</v>
      </c>
      <c r="AC281" s="36"/>
      <c r="AD281" s="272" t="str">
        <f t="shared" si="87"/>
        <v/>
      </c>
      <c r="AE281" s="273">
        <f t="shared" si="88"/>
        <v>0</v>
      </c>
      <c r="AF281" s="273">
        <f t="shared" si="89"/>
        <v>0</v>
      </c>
      <c r="AG281" s="273">
        <f t="shared" si="90"/>
        <v>0</v>
      </c>
      <c r="AH281" s="273">
        <f t="shared" si="91"/>
        <v>0</v>
      </c>
      <c r="AI281" s="273">
        <f t="shared" si="92"/>
        <v>0</v>
      </c>
      <c r="AJ281" s="273">
        <f t="shared" si="93"/>
        <v>0</v>
      </c>
      <c r="AK281" s="273">
        <f t="shared" si="94"/>
        <v>0</v>
      </c>
      <c r="AL281" s="274">
        <f t="shared" si="95"/>
        <v>0</v>
      </c>
      <c r="AN281" s="75" t="str">
        <f t="shared" si="96"/>
        <v>-</v>
      </c>
      <c r="AO281" s="75" t="str">
        <f t="shared" si="97"/>
        <v>-</v>
      </c>
      <c r="AP281" s="48">
        <f t="shared" si="100"/>
        <v>0</v>
      </c>
      <c r="AQ281" s="48">
        <f t="shared" si="98"/>
        <v>0</v>
      </c>
      <c r="AR281" s="49" t="e">
        <f t="shared" si="99"/>
        <v>#N/A</v>
      </c>
    </row>
    <row r="282" spans="1:44" ht="15">
      <c r="A282" s="38"/>
      <c r="B282" s="38"/>
      <c r="C282" s="38"/>
      <c r="D282" s="38"/>
      <c r="E282" s="38"/>
      <c r="F282" s="38"/>
      <c r="G282" s="47">
        <f t="shared" si="81"/>
        <v>6.5978850116714893E-2</v>
      </c>
      <c r="H282" s="44"/>
      <c r="I282" s="44"/>
      <c r="J282" s="45">
        <f t="shared" si="101"/>
        <v>0</v>
      </c>
      <c r="K282" s="38"/>
      <c r="L282" s="38"/>
      <c r="M282" s="38"/>
      <c r="N282" s="34" t="e">
        <f>VLOOKUP(F282,'GHG Emissions Factors'!$B$2:$C$4000,2,FALSE)</f>
        <v>#N/A</v>
      </c>
      <c r="O282" s="45" t="e">
        <f t="shared" si="82"/>
        <v>#N/A</v>
      </c>
      <c r="P282" s="34">
        <f>IF(L282="yes", 0, _xlfn.XLOOKUP(F282, 'GHG Emissions Factors'!$B$2:$B$4000, 'GHG Emissions Factors'!$D$2:$D$4000, 0))</f>
        <v>0</v>
      </c>
      <c r="Q282" s="46"/>
      <c r="R282" s="46"/>
      <c r="S282" s="46">
        <f>ProcurementAllocationData[[#This Row],[Net MWhs Procured]]-(ProcurementAllocationData[[#This Row],[Deep Green]]+ProcurementAllocationData[[#This Row],[LocalSol]]+ProcurementAllocationData[[#This Row],[GreenAccess]])</f>
        <v>0</v>
      </c>
      <c r="T282" s="46"/>
      <c r="U282" s="46"/>
      <c r="V282" s="46"/>
      <c r="W282" s="46"/>
      <c r="X282" s="46"/>
      <c r="Y282" s="112">
        <f t="shared" si="83"/>
        <v>0</v>
      </c>
      <c r="Z282" s="150">
        <f t="shared" si="84"/>
        <v>0</v>
      </c>
      <c r="AA282" s="150">
        <f t="shared" si="85"/>
        <v>0</v>
      </c>
      <c r="AB282" s="113">
        <f t="shared" si="86"/>
        <v>0</v>
      </c>
      <c r="AC282" s="36"/>
      <c r="AD282" s="272" t="str">
        <f t="shared" si="87"/>
        <v/>
      </c>
      <c r="AE282" s="273">
        <f t="shared" si="88"/>
        <v>0</v>
      </c>
      <c r="AF282" s="273">
        <f t="shared" si="89"/>
        <v>0</v>
      </c>
      <c r="AG282" s="273">
        <f t="shared" si="90"/>
        <v>0</v>
      </c>
      <c r="AH282" s="273">
        <f t="shared" si="91"/>
        <v>0</v>
      </c>
      <c r="AI282" s="273">
        <f t="shared" si="92"/>
        <v>0</v>
      </c>
      <c r="AJ282" s="273">
        <f t="shared" si="93"/>
        <v>0</v>
      </c>
      <c r="AK282" s="273">
        <f t="shared" si="94"/>
        <v>0</v>
      </c>
      <c r="AL282" s="274">
        <f t="shared" si="95"/>
        <v>0</v>
      </c>
      <c r="AN282" s="75" t="str">
        <f t="shared" si="96"/>
        <v>-</v>
      </c>
      <c r="AO282" s="75" t="str">
        <f t="shared" si="97"/>
        <v>-</v>
      </c>
      <c r="AP282" s="48">
        <f t="shared" si="100"/>
        <v>0</v>
      </c>
      <c r="AQ282" s="48">
        <f t="shared" si="98"/>
        <v>0</v>
      </c>
      <c r="AR282" s="49" t="e">
        <f t="shared" si="99"/>
        <v>#N/A</v>
      </c>
    </row>
    <row r="283" spans="1:44" ht="15">
      <c r="A283" s="38"/>
      <c r="B283" s="38"/>
      <c r="C283" s="38"/>
      <c r="D283" s="38"/>
      <c r="E283" s="38"/>
      <c r="F283" s="38"/>
      <c r="G283" s="47">
        <f t="shared" si="81"/>
        <v>6.5978850116714893E-2</v>
      </c>
      <c r="H283" s="44"/>
      <c r="I283" s="44"/>
      <c r="J283" s="45">
        <f t="shared" si="101"/>
        <v>0</v>
      </c>
      <c r="K283" s="38"/>
      <c r="L283" s="38"/>
      <c r="M283" s="38"/>
      <c r="N283" s="34" t="e">
        <f>VLOOKUP(F283,'GHG Emissions Factors'!$B$2:$C$4000,2,FALSE)</f>
        <v>#N/A</v>
      </c>
      <c r="O283" s="45" t="e">
        <f t="shared" si="82"/>
        <v>#N/A</v>
      </c>
      <c r="P283" s="34">
        <f>IF(L283="yes", 0, _xlfn.XLOOKUP(F283, 'GHG Emissions Factors'!$B$2:$B$4000, 'GHG Emissions Factors'!$D$2:$D$4000, 0))</f>
        <v>0</v>
      </c>
      <c r="Q283" s="46"/>
      <c r="R283" s="46"/>
      <c r="S283" s="46">
        <f>ProcurementAllocationData[[#This Row],[Net MWhs Procured]]-(ProcurementAllocationData[[#This Row],[Deep Green]]+ProcurementAllocationData[[#This Row],[LocalSol]]+ProcurementAllocationData[[#This Row],[GreenAccess]])</f>
        <v>0</v>
      </c>
      <c r="T283" s="46"/>
      <c r="U283" s="46"/>
      <c r="V283" s="46"/>
      <c r="W283" s="46"/>
      <c r="X283" s="46"/>
      <c r="Y283" s="112">
        <f t="shared" si="83"/>
        <v>0</v>
      </c>
      <c r="Z283" s="150">
        <f t="shared" si="84"/>
        <v>0</v>
      </c>
      <c r="AA283" s="150">
        <f t="shared" si="85"/>
        <v>0</v>
      </c>
      <c r="AB283" s="113">
        <f t="shared" si="86"/>
        <v>0</v>
      </c>
      <c r="AC283" s="36"/>
      <c r="AD283" s="272" t="str">
        <f t="shared" si="87"/>
        <v/>
      </c>
      <c r="AE283" s="273">
        <f t="shared" si="88"/>
        <v>0</v>
      </c>
      <c r="AF283" s="273">
        <f t="shared" si="89"/>
        <v>0</v>
      </c>
      <c r="AG283" s="273">
        <f t="shared" si="90"/>
        <v>0</v>
      </c>
      <c r="AH283" s="273">
        <f t="shared" si="91"/>
        <v>0</v>
      </c>
      <c r="AI283" s="273">
        <f t="shared" si="92"/>
        <v>0</v>
      </c>
      <c r="AJ283" s="273">
        <f t="shared" si="93"/>
        <v>0</v>
      </c>
      <c r="AK283" s="273">
        <f t="shared" si="94"/>
        <v>0</v>
      </c>
      <c r="AL283" s="274">
        <f t="shared" si="95"/>
        <v>0</v>
      </c>
      <c r="AN283" s="75" t="str">
        <f t="shared" si="96"/>
        <v>-</v>
      </c>
      <c r="AO283" s="75" t="str">
        <f t="shared" si="97"/>
        <v>-</v>
      </c>
      <c r="AP283" s="48">
        <f t="shared" si="100"/>
        <v>0</v>
      </c>
      <c r="AQ283" s="48">
        <f t="shared" si="98"/>
        <v>0</v>
      </c>
      <c r="AR283" s="49" t="e">
        <f t="shared" si="99"/>
        <v>#N/A</v>
      </c>
    </row>
    <row r="284" spans="1:44" ht="15">
      <c r="A284" s="38"/>
      <c r="B284" s="38"/>
      <c r="C284" s="38"/>
      <c r="D284" s="38"/>
      <c r="E284" s="38"/>
      <c r="F284" s="38"/>
      <c r="G284" s="47">
        <f t="shared" ref="G284:G347" si="102">IF(C284="CA",Default_in_state_loss_factor,Default_out_of_state_loss_factor)</f>
        <v>6.5978850116714893E-2</v>
      </c>
      <c r="H284" s="44"/>
      <c r="I284" s="44"/>
      <c r="J284" s="45">
        <f t="shared" si="101"/>
        <v>0</v>
      </c>
      <c r="K284" s="38"/>
      <c r="L284" s="38"/>
      <c r="M284" s="38"/>
      <c r="N284" s="34" t="e">
        <f>VLOOKUP(F284,'GHG Emissions Factors'!$B$2:$C$4000,2,FALSE)</f>
        <v>#N/A</v>
      </c>
      <c r="O284" s="45" t="e">
        <f t="shared" ref="O284:O347" si="103">N284*J284</f>
        <v>#N/A</v>
      </c>
      <c r="P284" s="34">
        <f>IF(L284="yes", 0, _xlfn.XLOOKUP(F284, 'GHG Emissions Factors'!$B$2:$B$4000, 'GHG Emissions Factors'!$D$2:$D$4000, 0))</f>
        <v>0</v>
      </c>
      <c r="Q284" s="46"/>
      <c r="R284" s="46"/>
      <c r="S284" s="46">
        <f>ProcurementAllocationData[[#This Row],[Net MWhs Procured]]-(ProcurementAllocationData[[#This Row],[Deep Green]]+ProcurementAllocationData[[#This Row],[LocalSol]]+ProcurementAllocationData[[#This Row],[GreenAccess]])</f>
        <v>0</v>
      </c>
      <c r="T284" s="46"/>
      <c r="U284" s="46"/>
      <c r="V284" s="46"/>
      <c r="W284" s="46"/>
      <c r="X284" s="46"/>
      <c r="Y284" s="112">
        <f t="shared" ref="Y284:Y347" si="104">ROUND((SUM(Q284:X284)*G284),0)</f>
        <v>0</v>
      </c>
      <c r="Z284" s="150">
        <f t="shared" ref="Z284:Z347" si="105">IF(M284="Yes",Y284,0)</f>
        <v>0</v>
      </c>
      <c r="AA284" s="150">
        <f t="shared" ref="AA284:AA347" si="106">Y284-Z284</f>
        <v>0</v>
      </c>
      <c r="AB284" s="113">
        <f t="shared" ref="AB284:AB347" si="107">J284-(SUM(Q284:X284))</f>
        <v>0</v>
      </c>
      <c r="AC284" s="36"/>
      <c r="AD284" s="272" t="str">
        <f t="shared" ref="AD284:AD347" si="108">IF(ISTEXT(A284),A284,"")</f>
        <v/>
      </c>
      <c r="AE284" s="273">
        <f t="shared" ref="AE284:AE347" si="109">Q284*$P284</f>
        <v>0</v>
      </c>
      <c r="AF284" s="273">
        <f t="shared" ref="AF284:AF347" si="110">R284*$P284</f>
        <v>0</v>
      </c>
      <c r="AG284" s="273">
        <f t="shared" ref="AG284:AG347" si="111">S284*$P284</f>
        <v>0</v>
      </c>
      <c r="AH284" s="273">
        <f t="shared" ref="AH284:AH347" si="112">T284*$P284</f>
        <v>0</v>
      </c>
      <c r="AI284" s="273">
        <f t="shared" ref="AI284:AI347" si="113">U284*$P284</f>
        <v>0</v>
      </c>
      <c r="AJ284" s="273">
        <f t="shared" ref="AJ284:AJ347" si="114">V284*$P284</f>
        <v>0</v>
      </c>
      <c r="AK284" s="273">
        <f t="shared" ref="AK284:AK347" si="115">W284*$P284</f>
        <v>0</v>
      </c>
      <c r="AL284" s="274">
        <f t="shared" ref="AL284:AL347" si="116">(X284*$P284)+(Z284*$P284)</f>
        <v>0</v>
      </c>
      <c r="AN284" s="75" t="str">
        <f t="shared" ref="AN284:AN347" si="117">IF(AB284&gt;0,A284,"-")</f>
        <v>-</v>
      </c>
      <c r="AO284" s="75" t="str">
        <f t="shared" ref="AO284:AO347" si="118">IF(AB284&gt;0,B284,"-")</f>
        <v>-</v>
      </c>
      <c r="AP284" s="48">
        <f t="shared" si="100"/>
        <v>0</v>
      </c>
      <c r="AQ284" s="48">
        <f t="shared" ref="AQ284:AQ347" si="119">AP284*G284</f>
        <v>0</v>
      </c>
      <c r="AR284" s="49" t="e">
        <f t="shared" ref="AR284:AR347" si="120">IF(ISNUMBER(AP284),AP284*N284,0)</f>
        <v>#N/A</v>
      </c>
    </row>
    <row r="285" spans="1:44" ht="15">
      <c r="A285" s="38"/>
      <c r="B285" s="38"/>
      <c r="C285" s="38"/>
      <c r="D285" s="38"/>
      <c r="E285" s="38"/>
      <c r="F285" s="38"/>
      <c r="G285" s="47">
        <f t="shared" si="102"/>
        <v>6.5978850116714893E-2</v>
      </c>
      <c r="H285" s="44"/>
      <c r="I285" s="44"/>
      <c r="J285" s="45">
        <f t="shared" si="101"/>
        <v>0</v>
      </c>
      <c r="K285" s="38"/>
      <c r="L285" s="38"/>
      <c r="M285" s="38"/>
      <c r="N285" s="34" t="e">
        <f>VLOOKUP(F285,'GHG Emissions Factors'!$B$2:$C$4000,2,FALSE)</f>
        <v>#N/A</v>
      </c>
      <c r="O285" s="45" t="e">
        <f t="shared" si="103"/>
        <v>#N/A</v>
      </c>
      <c r="P285" s="34">
        <f>IF(L285="yes", 0, _xlfn.XLOOKUP(F285, 'GHG Emissions Factors'!$B$2:$B$4000, 'GHG Emissions Factors'!$D$2:$D$4000, 0))</f>
        <v>0</v>
      </c>
      <c r="Q285" s="46"/>
      <c r="R285" s="46"/>
      <c r="S285" s="46">
        <f>ProcurementAllocationData[[#This Row],[Net MWhs Procured]]-(ProcurementAllocationData[[#This Row],[Deep Green]]+ProcurementAllocationData[[#This Row],[LocalSol]]+ProcurementAllocationData[[#This Row],[GreenAccess]])</f>
        <v>0</v>
      </c>
      <c r="T285" s="46"/>
      <c r="U285" s="46"/>
      <c r="V285" s="46"/>
      <c r="W285" s="46"/>
      <c r="X285" s="46"/>
      <c r="Y285" s="112">
        <f t="shared" si="104"/>
        <v>0</v>
      </c>
      <c r="Z285" s="150">
        <f t="shared" si="105"/>
        <v>0</v>
      </c>
      <c r="AA285" s="150">
        <f t="shared" si="106"/>
        <v>0</v>
      </c>
      <c r="AB285" s="113">
        <f t="shared" si="107"/>
        <v>0</v>
      </c>
      <c r="AC285" s="36"/>
      <c r="AD285" s="272" t="str">
        <f t="shared" si="108"/>
        <v/>
      </c>
      <c r="AE285" s="273">
        <f t="shared" si="109"/>
        <v>0</v>
      </c>
      <c r="AF285" s="273">
        <f t="shared" si="110"/>
        <v>0</v>
      </c>
      <c r="AG285" s="273">
        <f t="shared" si="111"/>
        <v>0</v>
      </c>
      <c r="AH285" s="273">
        <f t="shared" si="112"/>
        <v>0</v>
      </c>
      <c r="AI285" s="273">
        <f t="shared" si="113"/>
        <v>0</v>
      </c>
      <c r="AJ285" s="273">
        <f t="shared" si="114"/>
        <v>0</v>
      </c>
      <c r="AK285" s="273">
        <f t="shared" si="115"/>
        <v>0</v>
      </c>
      <c r="AL285" s="274">
        <f t="shared" si="116"/>
        <v>0</v>
      </c>
      <c r="AN285" s="75" t="str">
        <f t="shared" si="117"/>
        <v>-</v>
      </c>
      <c r="AO285" s="75" t="str">
        <f t="shared" si="118"/>
        <v>-</v>
      </c>
      <c r="AP285" s="48">
        <f t="shared" ref="AP285:AP348" si="121">IF(AB285&gt;0,AB285,0)</f>
        <v>0</v>
      </c>
      <c r="AQ285" s="48">
        <f t="shared" si="119"/>
        <v>0</v>
      </c>
      <c r="AR285" s="49" t="e">
        <f t="shared" si="120"/>
        <v>#N/A</v>
      </c>
    </row>
    <row r="286" spans="1:44" ht="15">
      <c r="A286" s="38"/>
      <c r="B286" s="38"/>
      <c r="C286" s="38"/>
      <c r="D286" s="38"/>
      <c r="E286" s="38"/>
      <c r="F286" s="38"/>
      <c r="G286" s="47">
        <f t="shared" si="102"/>
        <v>6.5978850116714893E-2</v>
      </c>
      <c r="H286" s="44"/>
      <c r="I286" s="44"/>
      <c r="J286" s="45">
        <f t="shared" si="101"/>
        <v>0</v>
      </c>
      <c r="K286" s="38"/>
      <c r="L286" s="38"/>
      <c r="M286" s="38"/>
      <c r="N286" s="34" t="e">
        <f>VLOOKUP(F286,'GHG Emissions Factors'!$B$2:$C$4000,2,FALSE)</f>
        <v>#N/A</v>
      </c>
      <c r="O286" s="45" t="e">
        <f t="shared" si="103"/>
        <v>#N/A</v>
      </c>
      <c r="P286" s="34">
        <f>IF(L286="yes", 0, _xlfn.XLOOKUP(F286, 'GHG Emissions Factors'!$B$2:$B$4000, 'GHG Emissions Factors'!$D$2:$D$4000, 0))</f>
        <v>0</v>
      </c>
      <c r="Q286" s="46"/>
      <c r="R286" s="46"/>
      <c r="S286" s="46">
        <f>ProcurementAllocationData[[#This Row],[Net MWhs Procured]]-(ProcurementAllocationData[[#This Row],[Deep Green]]+ProcurementAllocationData[[#This Row],[LocalSol]]+ProcurementAllocationData[[#This Row],[GreenAccess]])</f>
        <v>0</v>
      </c>
      <c r="T286" s="46"/>
      <c r="U286" s="46"/>
      <c r="V286" s="46"/>
      <c r="W286" s="46"/>
      <c r="X286" s="46"/>
      <c r="Y286" s="112">
        <f t="shared" si="104"/>
        <v>0</v>
      </c>
      <c r="Z286" s="150">
        <f t="shared" si="105"/>
        <v>0</v>
      </c>
      <c r="AA286" s="150">
        <f t="shared" si="106"/>
        <v>0</v>
      </c>
      <c r="AB286" s="113">
        <f t="shared" si="107"/>
        <v>0</v>
      </c>
      <c r="AC286" s="36"/>
      <c r="AD286" s="272" t="str">
        <f t="shared" si="108"/>
        <v/>
      </c>
      <c r="AE286" s="273">
        <f t="shared" si="109"/>
        <v>0</v>
      </c>
      <c r="AF286" s="273">
        <f t="shared" si="110"/>
        <v>0</v>
      </c>
      <c r="AG286" s="273">
        <f t="shared" si="111"/>
        <v>0</v>
      </c>
      <c r="AH286" s="273">
        <f t="shared" si="112"/>
        <v>0</v>
      </c>
      <c r="AI286" s="273">
        <f t="shared" si="113"/>
        <v>0</v>
      </c>
      <c r="AJ286" s="273">
        <f t="shared" si="114"/>
        <v>0</v>
      </c>
      <c r="AK286" s="273">
        <f t="shared" si="115"/>
        <v>0</v>
      </c>
      <c r="AL286" s="274">
        <f t="shared" si="116"/>
        <v>0</v>
      </c>
      <c r="AN286" s="75" t="str">
        <f t="shared" si="117"/>
        <v>-</v>
      </c>
      <c r="AO286" s="75" t="str">
        <f t="shared" si="118"/>
        <v>-</v>
      </c>
      <c r="AP286" s="48">
        <f t="shared" si="121"/>
        <v>0</v>
      </c>
      <c r="AQ286" s="48">
        <f t="shared" si="119"/>
        <v>0</v>
      </c>
      <c r="AR286" s="49" t="e">
        <f t="shared" si="120"/>
        <v>#N/A</v>
      </c>
    </row>
    <row r="287" spans="1:44" ht="15">
      <c r="A287" s="38"/>
      <c r="B287" s="38"/>
      <c r="C287" s="38"/>
      <c r="D287" s="38"/>
      <c r="E287" s="38"/>
      <c r="F287" s="38"/>
      <c r="G287" s="47">
        <f t="shared" si="102"/>
        <v>6.5978850116714893E-2</v>
      </c>
      <c r="H287" s="44"/>
      <c r="I287" s="44"/>
      <c r="J287" s="45">
        <f t="shared" si="101"/>
        <v>0</v>
      </c>
      <c r="K287" s="38"/>
      <c r="L287" s="38"/>
      <c r="M287" s="38"/>
      <c r="N287" s="34" t="e">
        <f>VLOOKUP(F287,'GHG Emissions Factors'!$B$2:$C$4000,2,FALSE)</f>
        <v>#N/A</v>
      </c>
      <c r="O287" s="45" t="e">
        <f t="shared" si="103"/>
        <v>#N/A</v>
      </c>
      <c r="P287" s="34">
        <f>IF(L287="yes", 0, _xlfn.XLOOKUP(F287, 'GHG Emissions Factors'!$B$2:$B$4000, 'GHG Emissions Factors'!$D$2:$D$4000, 0))</f>
        <v>0</v>
      </c>
      <c r="Q287" s="46"/>
      <c r="R287" s="46"/>
      <c r="S287" s="46">
        <f>ProcurementAllocationData[[#This Row],[Net MWhs Procured]]-(ProcurementAllocationData[[#This Row],[Deep Green]]+ProcurementAllocationData[[#This Row],[LocalSol]]+ProcurementAllocationData[[#This Row],[GreenAccess]])</f>
        <v>0</v>
      </c>
      <c r="T287" s="46"/>
      <c r="U287" s="46"/>
      <c r="V287" s="46"/>
      <c r="W287" s="46"/>
      <c r="X287" s="46"/>
      <c r="Y287" s="112">
        <f t="shared" si="104"/>
        <v>0</v>
      </c>
      <c r="Z287" s="150">
        <f t="shared" si="105"/>
        <v>0</v>
      </c>
      <c r="AA287" s="150">
        <f t="shared" si="106"/>
        <v>0</v>
      </c>
      <c r="AB287" s="113">
        <f t="shared" si="107"/>
        <v>0</v>
      </c>
      <c r="AC287" s="36"/>
      <c r="AD287" s="272" t="str">
        <f t="shared" si="108"/>
        <v/>
      </c>
      <c r="AE287" s="273">
        <f t="shared" si="109"/>
        <v>0</v>
      </c>
      <c r="AF287" s="273">
        <f t="shared" si="110"/>
        <v>0</v>
      </c>
      <c r="AG287" s="273">
        <f t="shared" si="111"/>
        <v>0</v>
      </c>
      <c r="AH287" s="273">
        <f t="shared" si="112"/>
        <v>0</v>
      </c>
      <c r="AI287" s="273">
        <f t="shared" si="113"/>
        <v>0</v>
      </c>
      <c r="AJ287" s="273">
        <f t="shared" si="114"/>
        <v>0</v>
      </c>
      <c r="AK287" s="273">
        <f t="shared" si="115"/>
        <v>0</v>
      </c>
      <c r="AL287" s="274">
        <f t="shared" si="116"/>
        <v>0</v>
      </c>
      <c r="AN287" s="75" t="str">
        <f t="shared" si="117"/>
        <v>-</v>
      </c>
      <c r="AO287" s="75" t="str">
        <f t="shared" si="118"/>
        <v>-</v>
      </c>
      <c r="AP287" s="48">
        <f t="shared" si="121"/>
        <v>0</v>
      </c>
      <c r="AQ287" s="48">
        <f t="shared" si="119"/>
        <v>0</v>
      </c>
      <c r="AR287" s="49" t="e">
        <f t="shared" si="120"/>
        <v>#N/A</v>
      </c>
    </row>
    <row r="288" spans="1:44" ht="15">
      <c r="A288" s="38"/>
      <c r="B288" s="38"/>
      <c r="C288" s="38"/>
      <c r="D288" s="38"/>
      <c r="E288" s="38"/>
      <c r="F288" s="38"/>
      <c r="G288" s="47">
        <f t="shared" si="102"/>
        <v>6.5978850116714893E-2</v>
      </c>
      <c r="H288" s="44"/>
      <c r="I288" s="44"/>
      <c r="J288" s="45">
        <f t="shared" si="101"/>
        <v>0</v>
      </c>
      <c r="K288" s="38"/>
      <c r="L288" s="38"/>
      <c r="M288" s="38"/>
      <c r="N288" s="34" t="e">
        <f>VLOOKUP(F288,'GHG Emissions Factors'!$B$2:$C$4000,2,FALSE)</f>
        <v>#N/A</v>
      </c>
      <c r="O288" s="45" t="e">
        <f t="shared" si="103"/>
        <v>#N/A</v>
      </c>
      <c r="P288" s="34">
        <f>IF(L288="yes", 0, _xlfn.XLOOKUP(F288, 'GHG Emissions Factors'!$B$2:$B$4000, 'GHG Emissions Factors'!$D$2:$D$4000, 0))</f>
        <v>0</v>
      </c>
      <c r="Q288" s="46"/>
      <c r="R288" s="46"/>
      <c r="S288" s="46">
        <f>ProcurementAllocationData[[#This Row],[Net MWhs Procured]]-(ProcurementAllocationData[[#This Row],[Deep Green]]+ProcurementAllocationData[[#This Row],[LocalSol]]+ProcurementAllocationData[[#This Row],[GreenAccess]])</f>
        <v>0</v>
      </c>
      <c r="T288" s="46"/>
      <c r="U288" s="46"/>
      <c r="V288" s="46"/>
      <c r="W288" s="46"/>
      <c r="X288" s="46"/>
      <c r="Y288" s="112">
        <f t="shared" si="104"/>
        <v>0</v>
      </c>
      <c r="Z288" s="150">
        <f t="shared" si="105"/>
        <v>0</v>
      </c>
      <c r="AA288" s="150">
        <f t="shared" si="106"/>
        <v>0</v>
      </c>
      <c r="AB288" s="113">
        <f t="shared" si="107"/>
        <v>0</v>
      </c>
      <c r="AC288" s="36"/>
      <c r="AD288" s="272" t="str">
        <f t="shared" si="108"/>
        <v/>
      </c>
      <c r="AE288" s="273">
        <f t="shared" si="109"/>
        <v>0</v>
      </c>
      <c r="AF288" s="273">
        <f t="shared" si="110"/>
        <v>0</v>
      </c>
      <c r="AG288" s="273">
        <f t="shared" si="111"/>
        <v>0</v>
      </c>
      <c r="AH288" s="273">
        <f t="shared" si="112"/>
        <v>0</v>
      </c>
      <c r="AI288" s="273">
        <f t="shared" si="113"/>
        <v>0</v>
      </c>
      <c r="AJ288" s="273">
        <f t="shared" si="114"/>
        <v>0</v>
      </c>
      <c r="AK288" s="273">
        <f t="shared" si="115"/>
        <v>0</v>
      </c>
      <c r="AL288" s="274">
        <f t="shared" si="116"/>
        <v>0</v>
      </c>
      <c r="AN288" s="75" t="str">
        <f t="shared" si="117"/>
        <v>-</v>
      </c>
      <c r="AO288" s="75" t="str">
        <f t="shared" si="118"/>
        <v>-</v>
      </c>
      <c r="AP288" s="48">
        <f t="shared" si="121"/>
        <v>0</v>
      </c>
      <c r="AQ288" s="48">
        <f t="shared" si="119"/>
        <v>0</v>
      </c>
      <c r="AR288" s="49" t="e">
        <f t="shared" si="120"/>
        <v>#N/A</v>
      </c>
    </row>
    <row r="289" spans="1:44" ht="15">
      <c r="A289" s="38"/>
      <c r="B289" s="38"/>
      <c r="C289" s="38"/>
      <c r="D289" s="38"/>
      <c r="E289" s="38"/>
      <c r="F289" s="38"/>
      <c r="G289" s="47">
        <f t="shared" si="102"/>
        <v>6.5978850116714893E-2</v>
      </c>
      <c r="H289" s="44"/>
      <c r="I289" s="44"/>
      <c r="J289" s="45">
        <f t="shared" si="101"/>
        <v>0</v>
      </c>
      <c r="K289" s="38"/>
      <c r="L289" s="38"/>
      <c r="M289" s="38"/>
      <c r="N289" s="34" t="e">
        <f>VLOOKUP(F289,'GHG Emissions Factors'!$B$2:$C$4000,2,FALSE)</f>
        <v>#N/A</v>
      </c>
      <c r="O289" s="45" t="e">
        <f t="shared" si="103"/>
        <v>#N/A</v>
      </c>
      <c r="P289" s="34">
        <f>IF(L289="yes", 0, _xlfn.XLOOKUP(F289, 'GHG Emissions Factors'!$B$2:$B$4000, 'GHG Emissions Factors'!$D$2:$D$4000, 0))</f>
        <v>0</v>
      </c>
      <c r="Q289" s="46"/>
      <c r="R289" s="46"/>
      <c r="S289" s="46">
        <f>ProcurementAllocationData[[#This Row],[Net MWhs Procured]]-(ProcurementAllocationData[[#This Row],[Deep Green]]+ProcurementAllocationData[[#This Row],[LocalSol]]+ProcurementAllocationData[[#This Row],[GreenAccess]])</f>
        <v>0</v>
      </c>
      <c r="T289" s="46"/>
      <c r="U289" s="46"/>
      <c r="V289" s="46"/>
      <c r="W289" s="46"/>
      <c r="X289" s="46"/>
      <c r="Y289" s="112">
        <f t="shared" si="104"/>
        <v>0</v>
      </c>
      <c r="Z289" s="150">
        <f t="shared" si="105"/>
        <v>0</v>
      </c>
      <c r="AA289" s="150">
        <f t="shared" si="106"/>
        <v>0</v>
      </c>
      <c r="AB289" s="113">
        <f t="shared" si="107"/>
        <v>0</v>
      </c>
      <c r="AC289" s="36"/>
      <c r="AD289" s="272" t="str">
        <f t="shared" si="108"/>
        <v/>
      </c>
      <c r="AE289" s="273">
        <f t="shared" si="109"/>
        <v>0</v>
      </c>
      <c r="AF289" s="273">
        <f t="shared" si="110"/>
        <v>0</v>
      </c>
      <c r="AG289" s="273">
        <f t="shared" si="111"/>
        <v>0</v>
      </c>
      <c r="AH289" s="273">
        <f t="shared" si="112"/>
        <v>0</v>
      </c>
      <c r="AI289" s="273">
        <f t="shared" si="113"/>
        <v>0</v>
      </c>
      <c r="AJ289" s="273">
        <f t="shared" si="114"/>
        <v>0</v>
      </c>
      <c r="AK289" s="273">
        <f t="shared" si="115"/>
        <v>0</v>
      </c>
      <c r="AL289" s="274">
        <f t="shared" si="116"/>
        <v>0</v>
      </c>
      <c r="AN289" s="75" t="str">
        <f t="shared" si="117"/>
        <v>-</v>
      </c>
      <c r="AO289" s="75" t="str">
        <f t="shared" si="118"/>
        <v>-</v>
      </c>
      <c r="AP289" s="48">
        <f t="shared" si="121"/>
        <v>0</v>
      </c>
      <c r="AQ289" s="48">
        <f t="shared" si="119"/>
        <v>0</v>
      </c>
      <c r="AR289" s="49" t="e">
        <f t="shared" si="120"/>
        <v>#N/A</v>
      </c>
    </row>
    <row r="290" spans="1:44" ht="15">
      <c r="A290" s="38"/>
      <c r="B290" s="38"/>
      <c r="C290" s="38"/>
      <c r="D290" s="38"/>
      <c r="E290" s="38"/>
      <c r="F290" s="38"/>
      <c r="G290" s="47">
        <f t="shared" si="102"/>
        <v>6.5978850116714893E-2</v>
      </c>
      <c r="H290" s="44"/>
      <c r="I290" s="44"/>
      <c r="J290" s="45">
        <f t="shared" si="101"/>
        <v>0</v>
      </c>
      <c r="K290" s="38"/>
      <c r="L290" s="38"/>
      <c r="M290" s="38"/>
      <c r="N290" s="34" t="e">
        <f>VLOOKUP(F290,'GHG Emissions Factors'!$B$2:$C$4000,2,FALSE)</f>
        <v>#N/A</v>
      </c>
      <c r="O290" s="45" t="e">
        <f t="shared" si="103"/>
        <v>#N/A</v>
      </c>
      <c r="P290" s="34">
        <f>IF(L290="yes", 0, _xlfn.XLOOKUP(F290, 'GHG Emissions Factors'!$B$2:$B$4000, 'GHG Emissions Factors'!$D$2:$D$4000, 0))</f>
        <v>0</v>
      </c>
      <c r="Q290" s="46"/>
      <c r="R290" s="46"/>
      <c r="S290" s="46">
        <f>ProcurementAllocationData[[#This Row],[Net MWhs Procured]]-(ProcurementAllocationData[[#This Row],[Deep Green]]+ProcurementAllocationData[[#This Row],[LocalSol]]+ProcurementAllocationData[[#This Row],[GreenAccess]])</f>
        <v>0</v>
      </c>
      <c r="T290" s="46"/>
      <c r="U290" s="46"/>
      <c r="V290" s="46"/>
      <c r="W290" s="46"/>
      <c r="X290" s="46"/>
      <c r="Y290" s="112">
        <f t="shared" si="104"/>
        <v>0</v>
      </c>
      <c r="Z290" s="150">
        <f t="shared" si="105"/>
        <v>0</v>
      </c>
      <c r="AA290" s="150">
        <f t="shared" si="106"/>
        <v>0</v>
      </c>
      <c r="AB290" s="113">
        <f t="shared" si="107"/>
        <v>0</v>
      </c>
      <c r="AC290" s="36"/>
      <c r="AD290" s="272" t="str">
        <f t="shared" si="108"/>
        <v/>
      </c>
      <c r="AE290" s="273">
        <f t="shared" si="109"/>
        <v>0</v>
      </c>
      <c r="AF290" s="273">
        <f t="shared" si="110"/>
        <v>0</v>
      </c>
      <c r="AG290" s="273">
        <f t="shared" si="111"/>
        <v>0</v>
      </c>
      <c r="AH290" s="273">
        <f t="shared" si="112"/>
        <v>0</v>
      </c>
      <c r="AI290" s="273">
        <f t="shared" si="113"/>
        <v>0</v>
      </c>
      <c r="AJ290" s="273">
        <f t="shared" si="114"/>
        <v>0</v>
      </c>
      <c r="AK290" s="273">
        <f t="shared" si="115"/>
        <v>0</v>
      </c>
      <c r="AL290" s="274">
        <f t="shared" si="116"/>
        <v>0</v>
      </c>
      <c r="AN290" s="75" t="str">
        <f t="shared" si="117"/>
        <v>-</v>
      </c>
      <c r="AO290" s="75" t="str">
        <f t="shared" si="118"/>
        <v>-</v>
      </c>
      <c r="AP290" s="48">
        <f t="shared" si="121"/>
        <v>0</v>
      </c>
      <c r="AQ290" s="48">
        <f t="shared" si="119"/>
        <v>0</v>
      </c>
      <c r="AR290" s="49" t="e">
        <f t="shared" si="120"/>
        <v>#N/A</v>
      </c>
    </row>
    <row r="291" spans="1:44" ht="15">
      <c r="A291" s="38"/>
      <c r="B291" s="38"/>
      <c r="C291" s="38"/>
      <c r="D291" s="38"/>
      <c r="E291" s="38"/>
      <c r="F291" s="38"/>
      <c r="G291" s="47">
        <f t="shared" si="102"/>
        <v>6.5978850116714893E-2</v>
      </c>
      <c r="H291" s="44"/>
      <c r="I291" s="44"/>
      <c r="J291" s="45">
        <f t="shared" si="101"/>
        <v>0</v>
      </c>
      <c r="K291" s="38"/>
      <c r="L291" s="38"/>
      <c r="M291" s="38"/>
      <c r="N291" s="34" t="e">
        <f>VLOOKUP(F291,'GHG Emissions Factors'!$B$2:$C$4000,2,FALSE)</f>
        <v>#N/A</v>
      </c>
      <c r="O291" s="45" t="e">
        <f t="shared" si="103"/>
        <v>#N/A</v>
      </c>
      <c r="P291" s="34">
        <f>IF(L291="yes", 0, _xlfn.XLOOKUP(F291, 'GHG Emissions Factors'!$B$2:$B$4000, 'GHG Emissions Factors'!$D$2:$D$4000, 0))</f>
        <v>0</v>
      </c>
      <c r="Q291" s="46"/>
      <c r="R291" s="46"/>
      <c r="S291" s="46">
        <f>ProcurementAllocationData[[#This Row],[Net MWhs Procured]]-(ProcurementAllocationData[[#This Row],[Deep Green]]+ProcurementAllocationData[[#This Row],[LocalSol]]+ProcurementAllocationData[[#This Row],[GreenAccess]])</f>
        <v>0</v>
      </c>
      <c r="T291" s="46"/>
      <c r="U291" s="46"/>
      <c r="V291" s="46"/>
      <c r="W291" s="46"/>
      <c r="X291" s="46"/>
      <c r="Y291" s="112">
        <f t="shared" si="104"/>
        <v>0</v>
      </c>
      <c r="Z291" s="150">
        <f t="shared" si="105"/>
        <v>0</v>
      </c>
      <c r="AA291" s="150">
        <f t="shared" si="106"/>
        <v>0</v>
      </c>
      <c r="AB291" s="113">
        <f t="shared" si="107"/>
        <v>0</v>
      </c>
      <c r="AC291" s="36"/>
      <c r="AD291" s="272" t="str">
        <f t="shared" si="108"/>
        <v/>
      </c>
      <c r="AE291" s="273">
        <f t="shared" si="109"/>
        <v>0</v>
      </c>
      <c r="AF291" s="273">
        <f t="shared" si="110"/>
        <v>0</v>
      </c>
      <c r="AG291" s="273">
        <f t="shared" si="111"/>
        <v>0</v>
      </c>
      <c r="AH291" s="273">
        <f t="shared" si="112"/>
        <v>0</v>
      </c>
      <c r="AI291" s="273">
        <f t="shared" si="113"/>
        <v>0</v>
      </c>
      <c r="AJ291" s="273">
        <f t="shared" si="114"/>
        <v>0</v>
      </c>
      <c r="AK291" s="273">
        <f t="shared" si="115"/>
        <v>0</v>
      </c>
      <c r="AL291" s="274">
        <f t="shared" si="116"/>
        <v>0</v>
      </c>
      <c r="AN291" s="75" t="str">
        <f t="shared" si="117"/>
        <v>-</v>
      </c>
      <c r="AO291" s="75" t="str">
        <f t="shared" si="118"/>
        <v>-</v>
      </c>
      <c r="AP291" s="48">
        <f t="shared" si="121"/>
        <v>0</v>
      </c>
      <c r="AQ291" s="48">
        <f t="shared" si="119"/>
        <v>0</v>
      </c>
      <c r="AR291" s="49" t="e">
        <f t="shared" si="120"/>
        <v>#N/A</v>
      </c>
    </row>
    <row r="292" spans="1:44" ht="15">
      <c r="A292" s="38"/>
      <c r="B292" s="38"/>
      <c r="C292" s="38"/>
      <c r="D292" s="38"/>
      <c r="E292" s="38"/>
      <c r="F292" s="38"/>
      <c r="G292" s="47">
        <f t="shared" si="102"/>
        <v>6.5978850116714893E-2</v>
      </c>
      <c r="H292" s="44"/>
      <c r="I292" s="44"/>
      <c r="J292" s="45">
        <f t="shared" si="101"/>
        <v>0</v>
      </c>
      <c r="K292" s="38"/>
      <c r="L292" s="38"/>
      <c r="M292" s="38"/>
      <c r="N292" s="34" t="e">
        <f>VLOOKUP(F292,'GHG Emissions Factors'!$B$2:$C$4000,2,FALSE)</f>
        <v>#N/A</v>
      </c>
      <c r="O292" s="45" t="e">
        <f t="shared" si="103"/>
        <v>#N/A</v>
      </c>
      <c r="P292" s="34">
        <f>IF(L292="yes", 0, _xlfn.XLOOKUP(F292, 'GHG Emissions Factors'!$B$2:$B$4000, 'GHG Emissions Factors'!$D$2:$D$4000, 0))</f>
        <v>0</v>
      </c>
      <c r="Q292" s="46"/>
      <c r="R292" s="46"/>
      <c r="S292" s="46">
        <f>ProcurementAllocationData[[#This Row],[Net MWhs Procured]]-(ProcurementAllocationData[[#This Row],[Deep Green]]+ProcurementAllocationData[[#This Row],[LocalSol]]+ProcurementAllocationData[[#This Row],[GreenAccess]])</f>
        <v>0</v>
      </c>
      <c r="T292" s="46"/>
      <c r="U292" s="46"/>
      <c r="V292" s="46"/>
      <c r="W292" s="46"/>
      <c r="X292" s="46"/>
      <c r="Y292" s="112">
        <f t="shared" si="104"/>
        <v>0</v>
      </c>
      <c r="Z292" s="150">
        <f t="shared" si="105"/>
        <v>0</v>
      </c>
      <c r="AA292" s="150">
        <f t="shared" si="106"/>
        <v>0</v>
      </c>
      <c r="AB292" s="113">
        <f t="shared" si="107"/>
        <v>0</v>
      </c>
      <c r="AC292" s="36"/>
      <c r="AD292" s="272" t="str">
        <f t="shared" si="108"/>
        <v/>
      </c>
      <c r="AE292" s="273">
        <f t="shared" si="109"/>
        <v>0</v>
      </c>
      <c r="AF292" s="273">
        <f t="shared" si="110"/>
        <v>0</v>
      </c>
      <c r="AG292" s="273">
        <f t="shared" si="111"/>
        <v>0</v>
      </c>
      <c r="AH292" s="273">
        <f t="shared" si="112"/>
        <v>0</v>
      </c>
      <c r="AI292" s="273">
        <f t="shared" si="113"/>
        <v>0</v>
      </c>
      <c r="AJ292" s="273">
        <f t="shared" si="114"/>
        <v>0</v>
      </c>
      <c r="AK292" s="273">
        <f t="shared" si="115"/>
        <v>0</v>
      </c>
      <c r="AL292" s="274">
        <f t="shared" si="116"/>
        <v>0</v>
      </c>
      <c r="AN292" s="75" t="str">
        <f t="shared" si="117"/>
        <v>-</v>
      </c>
      <c r="AO292" s="75" t="str">
        <f t="shared" si="118"/>
        <v>-</v>
      </c>
      <c r="AP292" s="48">
        <f t="shared" si="121"/>
        <v>0</v>
      </c>
      <c r="AQ292" s="48">
        <f t="shared" si="119"/>
        <v>0</v>
      </c>
      <c r="AR292" s="49" t="e">
        <f t="shared" si="120"/>
        <v>#N/A</v>
      </c>
    </row>
    <row r="293" spans="1:44" ht="15">
      <c r="A293" s="38"/>
      <c r="B293" s="38"/>
      <c r="C293" s="38"/>
      <c r="D293" s="38"/>
      <c r="E293" s="38"/>
      <c r="F293" s="38"/>
      <c r="G293" s="47">
        <f t="shared" si="102"/>
        <v>6.5978850116714893E-2</v>
      </c>
      <c r="H293" s="44"/>
      <c r="I293" s="44"/>
      <c r="J293" s="45">
        <f t="shared" si="101"/>
        <v>0</v>
      </c>
      <c r="K293" s="38"/>
      <c r="L293" s="38"/>
      <c r="M293" s="38"/>
      <c r="N293" s="34" t="e">
        <f>VLOOKUP(F293,'GHG Emissions Factors'!$B$2:$C$4000,2,FALSE)</f>
        <v>#N/A</v>
      </c>
      <c r="O293" s="45" t="e">
        <f t="shared" si="103"/>
        <v>#N/A</v>
      </c>
      <c r="P293" s="34">
        <f>IF(L293="yes", 0, _xlfn.XLOOKUP(F293, 'GHG Emissions Factors'!$B$2:$B$4000, 'GHG Emissions Factors'!$D$2:$D$4000, 0))</f>
        <v>0</v>
      </c>
      <c r="Q293" s="46"/>
      <c r="R293" s="46"/>
      <c r="S293" s="46">
        <f>ProcurementAllocationData[[#This Row],[Net MWhs Procured]]-(ProcurementAllocationData[[#This Row],[Deep Green]]+ProcurementAllocationData[[#This Row],[LocalSol]]+ProcurementAllocationData[[#This Row],[GreenAccess]])</f>
        <v>0</v>
      </c>
      <c r="T293" s="46"/>
      <c r="U293" s="46"/>
      <c r="V293" s="46"/>
      <c r="W293" s="46"/>
      <c r="X293" s="46"/>
      <c r="Y293" s="112">
        <f t="shared" si="104"/>
        <v>0</v>
      </c>
      <c r="Z293" s="150">
        <f t="shared" si="105"/>
        <v>0</v>
      </c>
      <c r="AA293" s="150">
        <f t="shared" si="106"/>
        <v>0</v>
      </c>
      <c r="AB293" s="113">
        <f t="shared" si="107"/>
        <v>0</v>
      </c>
      <c r="AC293" s="36"/>
      <c r="AD293" s="272" t="str">
        <f t="shared" si="108"/>
        <v/>
      </c>
      <c r="AE293" s="273">
        <f t="shared" si="109"/>
        <v>0</v>
      </c>
      <c r="AF293" s="273">
        <f t="shared" si="110"/>
        <v>0</v>
      </c>
      <c r="AG293" s="273">
        <f t="shared" si="111"/>
        <v>0</v>
      </c>
      <c r="AH293" s="273">
        <f t="shared" si="112"/>
        <v>0</v>
      </c>
      <c r="AI293" s="273">
        <f t="shared" si="113"/>
        <v>0</v>
      </c>
      <c r="AJ293" s="273">
        <f t="shared" si="114"/>
        <v>0</v>
      </c>
      <c r="AK293" s="273">
        <f t="shared" si="115"/>
        <v>0</v>
      </c>
      <c r="AL293" s="274">
        <f t="shared" si="116"/>
        <v>0</v>
      </c>
      <c r="AN293" s="75" t="str">
        <f t="shared" si="117"/>
        <v>-</v>
      </c>
      <c r="AO293" s="75" t="str">
        <f t="shared" si="118"/>
        <v>-</v>
      </c>
      <c r="AP293" s="48">
        <f t="shared" si="121"/>
        <v>0</v>
      </c>
      <c r="AQ293" s="48">
        <f t="shared" si="119"/>
        <v>0</v>
      </c>
      <c r="AR293" s="49" t="e">
        <f t="shared" si="120"/>
        <v>#N/A</v>
      </c>
    </row>
    <row r="294" spans="1:44" ht="15">
      <c r="A294" s="38"/>
      <c r="B294" s="38"/>
      <c r="C294" s="38"/>
      <c r="D294" s="38"/>
      <c r="E294" s="38"/>
      <c r="F294" s="38"/>
      <c r="G294" s="47">
        <f t="shared" si="102"/>
        <v>6.5978850116714893E-2</v>
      </c>
      <c r="H294" s="44"/>
      <c r="I294" s="44"/>
      <c r="J294" s="45">
        <f t="shared" si="101"/>
        <v>0</v>
      </c>
      <c r="K294" s="38"/>
      <c r="L294" s="38"/>
      <c r="M294" s="38"/>
      <c r="N294" s="34" t="e">
        <f>VLOOKUP(F294,'GHG Emissions Factors'!$B$2:$C$4000,2,FALSE)</f>
        <v>#N/A</v>
      </c>
      <c r="O294" s="45" t="e">
        <f t="shared" si="103"/>
        <v>#N/A</v>
      </c>
      <c r="P294" s="34">
        <f>IF(L294="yes", 0, _xlfn.XLOOKUP(F294, 'GHG Emissions Factors'!$B$2:$B$4000, 'GHG Emissions Factors'!$D$2:$D$4000, 0))</f>
        <v>0</v>
      </c>
      <c r="Q294" s="46"/>
      <c r="R294" s="46"/>
      <c r="S294" s="46">
        <f>ProcurementAllocationData[[#This Row],[Net MWhs Procured]]-(ProcurementAllocationData[[#This Row],[Deep Green]]+ProcurementAllocationData[[#This Row],[LocalSol]]+ProcurementAllocationData[[#This Row],[GreenAccess]])</f>
        <v>0</v>
      </c>
      <c r="T294" s="46"/>
      <c r="U294" s="46"/>
      <c r="V294" s="46"/>
      <c r="W294" s="46"/>
      <c r="X294" s="46"/>
      <c r="Y294" s="112">
        <f t="shared" si="104"/>
        <v>0</v>
      </c>
      <c r="Z294" s="150">
        <f t="shared" si="105"/>
        <v>0</v>
      </c>
      <c r="AA294" s="150">
        <f t="shared" si="106"/>
        <v>0</v>
      </c>
      <c r="AB294" s="113">
        <f t="shared" si="107"/>
        <v>0</v>
      </c>
      <c r="AC294" s="36"/>
      <c r="AD294" s="272" t="str">
        <f t="shared" si="108"/>
        <v/>
      </c>
      <c r="AE294" s="273">
        <f t="shared" si="109"/>
        <v>0</v>
      </c>
      <c r="AF294" s="273">
        <f t="shared" si="110"/>
        <v>0</v>
      </c>
      <c r="AG294" s="273">
        <f t="shared" si="111"/>
        <v>0</v>
      </c>
      <c r="AH294" s="273">
        <f t="shared" si="112"/>
        <v>0</v>
      </c>
      <c r="AI294" s="273">
        <f t="shared" si="113"/>
        <v>0</v>
      </c>
      <c r="AJ294" s="273">
        <f t="shared" si="114"/>
        <v>0</v>
      </c>
      <c r="AK294" s="273">
        <f t="shared" si="115"/>
        <v>0</v>
      </c>
      <c r="AL294" s="274">
        <f t="shared" si="116"/>
        <v>0</v>
      </c>
      <c r="AN294" s="75" t="str">
        <f t="shared" si="117"/>
        <v>-</v>
      </c>
      <c r="AO294" s="75" t="str">
        <f t="shared" si="118"/>
        <v>-</v>
      </c>
      <c r="AP294" s="48">
        <f t="shared" si="121"/>
        <v>0</v>
      </c>
      <c r="AQ294" s="48">
        <f t="shared" si="119"/>
        <v>0</v>
      </c>
      <c r="AR294" s="49" t="e">
        <f t="shared" si="120"/>
        <v>#N/A</v>
      </c>
    </row>
    <row r="295" spans="1:44" ht="15">
      <c r="A295" s="38"/>
      <c r="B295" s="38"/>
      <c r="C295" s="38"/>
      <c r="D295" s="38"/>
      <c r="E295" s="38"/>
      <c r="F295" s="38"/>
      <c r="G295" s="47">
        <f t="shared" si="102"/>
        <v>6.5978850116714893E-2</v>
      </c>
      <c r="H295" s="44"/>
      <c r="I295" s="44"/>
      <c r="J295" s="45">
        <f t="shared" si="101"/>
        <v>0</v>
      </c>
      <c r="K295" s="38"/>
      <c r="L295" s="38"/>
      <c r="M295" s="38"/>
      <c r="N295" s="34" t="e">
        <f>VLOOKUP(F295,'GHG Emissions Factors'!$B$2:$C$4000,2,FALSE)</f>
        <v>#N/A</v>
      </c>
      <c r="O295" s="45" t="e">
        <f t="shared" si="103"/>
        <v>#N/A</v>
      </c>
      <c r="P295" s="34">
        <f>IF(L295="yes", 0, _xlfn.XLOOKUP(F295, 'GHG Emissions Factors'!$B$2:$B$4000, 'GHG Emissions Factors'!$D$2:$D$4000, 0))</f>
        <v>0</v>
      </c>
      <c r="Q295" s="46"/>
      <c r="R295" s="46"/>
      <c r="S295" s="46">
        <f>ProcurementAllocationData[[#This Row],[Net MWhs Procured]]-(ProcurementAllocationData[[#This Row],[Deep Green]]+ProcurementAllocationData[[#This Row],[LocalSol]]+ProcurementAllocationData[[#This Row],[GreenAccess]])</f>
        <v>0</v>
      </c>
      <c r="T295" s="46"/>
      <c r="U295" s="46"/>
      <c r="V295" s="46"/>
      <c r="W295" s="46"/>
      <c r="X295" s="46"/>
      <c r="Y295" s="112">
        <f t="shared" si="104"/>
        <v>0</v>
      </c>
      <c r="Z295" s="150">
        <f t="shared" si="105"/>
        <v>0</v>
      </c>
      <c r="AA295" s="150">
        <f t="shared" si="106"/>
        <v>0</v>
      </c>
      <c r="AB295" s="113">
        <f t="shared" si="107"/>
        <v>0</v>
      </c>
      <c r="AC295" s="36"/>
      <c r="AD295" s="272" t="str">
        <f t="shared" si="108"/>
        <v/>
      </c>
      <c r="AE295" s="273">
        <f t="shared" si="109"/>
        <v>0</v>
      </c>
      <c r="AF295" s="273">
        <f t="shared" si="110"/>
        <v>0</v>
      </c>
      <c r="AG295" s="273">
        <f t="shared" si="111"/>
        <v>0</v>
      </c>
      <c r="AH295" s="273">
        <f t="shared" si="112"/>
        <v>0</v>
      </c>
      <c r="AI295" s="273">
        <f t="shared" si="113"/>
        <v>0</v>
      </c>
      <c r="AJ295" s="273">
        <f t="shared" si="114"/>
        <v>0</v>
      </c>
      <c r="AK295" s="273">
        <f t="shared" si="115"/>
        <v>0</v>
      </c>
      <c r="AL295" s="274">
        <f t="shared" si="116"/>
        <v>0</v>
      </c>
      <c r="AN295" s="75" t="str">
        <f t="shared" si="117"/>
        <v>-</v>
      </c>
      <c r="AO295" s="75" t="str">
        <f t="shared" si="118"/>
        <v>-</v>
      </c>
      <c r="AP295" s="48">
        <f t="shared" si="121"/>
        <v>0</v>
      </c>
      <c r="AQ295" s="48">
        <f t="shared" si="119"/>
        <v>0</v>
      </c>
      <c r="AR295" s="49" t="e">
        <f t="shared" si="120"/>
        <v>#N/A</v>
      </c>
    </row>
    <row r="296" spans="1:44" ht="15">
      <c r="A296" s="38"/>
      <c r="B296" s="38"/>
      <c r="C296" s="38"/>
      <c r="D296" s="38"/>
      <c r="E296" s="38"/>
      <c r="F296" s="38"/>
      <c r="G296" s="47">
        <f t="shared" si="102"/>
        <v>6.5978850116714893E-2</v>
      </c>
      <c r="H296" s="44"/>
      <c r="I296" s="44"/>
      <c r="J296" s="45">
        <f t="shared" si="101"/>
        <v>0</v>
      </c>
      <c r="K296" s="38"/>
      <c r="L296" s="38"/>
      <c r="M296" s="38"/>
      <c r="N296" s="34" t="e">
        <f>VLOOKUP(F296,'GHG Emissions Factors'!$B$2:$C$4000,2,FALSE)</f>
        <v>#N/A</v>
      </c>
      <c r="O296" s="45" t="e">
        <f t="shared" si="103"/>
        <v>#N/A</v>
      </c>
      <c r="P296" s="34">
        <f>IF(L296="yes", 0, _xlfn.XLOOKUP(F296, 'GHG Emissions Factors'!$B$2:$B$4000, 'GHG Emissions Factors'!$D$2:$D$4000, 0))</f>
        <v>0</v>
      </c>
      <c r="Q296" s="46"/>
      <c r="R296" s="46"/>
      <c r="S296" s="46">
        <f>ProcurementAllocationData[[#This Row],[Net MWhs Procured]]-(ProcurementAllocationData[[#This Row],[Deep Green]]+ProcurementAllocationData[[#This Row],[LocalSol]]+ProcurementAllocationData[[#This Row],[GreenAccess]])</f>
        <v>0</v>
      </c>
      <c r="T296" s="46"/>
      <c r="U296" s="46"/>
      <c r="V296" s="46"/>
      <c r="W296" s="46"/>
      <c r="X296" s="46"/>
      <c r="Y296" s="112">
        <f t="shared" si="104"/>
        <v>0</v>
      </c>
      <c r="Z296" s="150">
        <f t="shared" si="105"/>
        <v>0</v>
      </c>
      <c r="AA296" s="150">
        <f t="shared" si="106"/>
        <v>0</v>
      </c>
      <c r="AB296" s="113">
        <f t="shared" si="107"/>
        <v>0</v>
      </c>
      <c r="AC296" s="36"/>
      <c r="AD296" s="272" t="str">
        <f t="shared" si="108"/>
        <v/>
      </c>
      <c r="AE296" s="273">
        <f t="shared" si="109"/>
        <v>0</v>
      </c>
      <c r="AF296" s="273">
        <f t="shared" si="110"/>
        <v>0</v>
      </c>
      <c r="AG296" s="273">
        <f t="shared" si="111"/>
        <v>0</v>
      </c>
      <c r="AH296" s="273">
        <f t="shared" si="112"/>
        <v>0</v>
      </c>
      <c r="AI296" s="273">
        <f t="shared" si="113"/>
        <v>0</v>
      </c>
      <c r="AJ296" s="273">
        <f t="shared" si="114"/>
        <v>0</v>
      </c>
      <c r="AK296" s="273">
        <f t="shared" si="115"/>
        <v>0</v>
      </c>
      <c r="AL296" s="274">
        <f t="shared" si="116"/>
        <v>0</v>
      </c>
      <c r="AN296" s="75" t="str">
        <f t="shared" si="117"/>
        <v>-</v>
      </c>
      <c r="AO296" s="75" t="str">
        <f t="shared" si="118"/>
        <v>-</v>
      </c>
      <c r="AP296" s="48">
        <f t="shared" si="121"/>
        <v>0</v>
      </c>
      <c r="AQ296" s="48">
        <f t="shared" si="119"/>
        <v>0</v>
      </c>
      <c r="AR296" s="49" t="e">
        <f t="shared" si="120"/>
        <v>#N/A</v>
      </c>
    </row>
    <row r="297" spans="1:44" ht="15">
      <c r="A297" s="38"/>
      <c r="B297" s="38"/>
      <c r="C297" s="38"/>
      <c r="D297" s="38"/>
      <c r="E297" s="38"/>
      <c r="F297" s="38"/>
      <c r="G297" s="47">
        <f t="shared" si="102"/>
        <v>6.5978850116714893E-2</v>
      </c>
      <c r="H297" s="44"/>
      <c r="I297" s="44"/>
      <c r="J297" s="45">
        <f t="shared" si="101"/>
        <v>0</v>
      </c>
      <c r="K297" s="38"/>
      <c r="L297" s="38"/>
      <c r="M297" s="38"/>
      <c r="N297" s="34" t="e">
        <f>VLOOKUP(F297,'GHG Emissions Factors'!$B$2:$C$4000,2,FALSE)</f>
        <v>#N/A</v>
      </c>
      <c r="O297" s="45" t="e">
        <f t="shared" si="103"/>
        <v>#N/A</v>
      </c>
      <c r="P297" s="34">
        <f>IF(L297="yes", 0, _xlfn.XLOOKUP(F297, 'GHG Emissions Factors'!$B$2:$B$4000, 'GHG Emissions Factors'!$D$2:$D$4000, 0))</f>
        <v>0</v>
      </c>
      <c r="Q297" s="46"/>
      <c r="R297" s="46"/>
      <c r="S297" s="46">
        <f>ProcurementAllocationData[[#This Row],[Net MWhs Procured]]-(ProcurementAllocationData[[#This Row],[Deep Green]]+ProcurementAllocationData[[#This Row],[LocalSol]]+ProcurementAllocationData[[#This Row],[GreenAccess]])</f>
        <v>0</v>
      </c>
      <c r="T297" s="46"/>
      <c r="U297" s="46"/>
      <c r="V297" s="46"/>
      <c r="W297" s="46"/>
      <c r="X297" s="46"/>
      <c r="Y297" s="112">
        <f t="shared" si="104"/>
        <v>0</v>
      </c>
      <c r="Z297" s="150">
        <f t="shared" si="105"/>
        <v>0</v>
      </c>
      <c r="AA297" s="150">
        <f t="shared" si="106"/>
        <v>0</v>
      </c>
      <c r="AB297" s="113">
        <f t="shared" si="107"/>
        <v>0</v>
      </c>
      <c r="AC297" s="36"/>
      <c r="AD297" s="272" t="str">
        <f t="shared" si="108"/>
        <v/>
      </c>
      <c r="AE297" s="273">
        <f t="shared" si="109"/>
        <v>0</v>
      </c>
      <c r="AF297" s="273">
        <f t="shared" si="110"/>
        <v>0</v>
      </c>
      <c r="AG297" s="273">
        <f t="shared" si="111"/>
        <v>0</v>
      </c>
      <c r="AH297" s="273">
        <f t="shared" si="112"/>
        <v>0</v>
      </c>
      <c r="AI297" s="273">
        <f t="shared" si="113"/>
        <v>0</v>
      </c>
      <c r="AJ297" s="273">
        <f t="shared" si="114"/>
        <v>0</v>
      </c>
      <c r="AK297" s="273">
        <f t="shared" si="115"/>
        <v>0</v>
      </c>
      <c r="AL297" s="274">
        <f t="shared" si="116"/>
        <v>0</v>
      </c>
      <c r="AN297" s="75" t="str">
        <f t="shared" si="117"/>
        <v>-</v>
      </c>
      <c r="AO297" s="75" t="str">
        <f t="shared" si="118"/>
        <v>-</v>
      </c>
      <c r="AP297" s="48">
        <f t="shared" si="121"/>
        <v>0</v>
      </c>
      <c r="AQ297" s="48">
        <f t="shared" si="119"/>
        <v>0</v>
      </c>
      <c r="AR297" s="49" t="e">
        <f t="shared" si="120"/>
        <v>#N/A</v>
      </c>
    </row>
    <row r="298" spans="1:44" ht="15">
      <c r="A298" s="38"/>
      <c r="B298" s="38"/>
      <c r="C298" s="38"/>
      <c r="D298" s="38"/>
      <c r="E298" s="38"/>
      <c r="F298" s="38"/>
      <c r="G298" s="47">
        <f t="shared" si="102"/>
        <v>6.5978850116714893E-2</v>
      </c>
      <c r="H298" s="44"/>
      <c r="I298" s="44"/>
      <c r="J298" s="45">
        <f t="shared" si="101"/>
        <v>0</v>
      </c>
      <c r="K298" s="38"/>
      <c r="L298" s="38"/>
      <c r="M298" s="38"/>
      <c r="N298" s="34" t="e">
        <f>VLOOKUP(F298,'GHG Emissions Factors'!$B$2:$C$4000,2,FALSE)</f>
        <v>#N/A</v>
      </c>
      <c r="O298" s="45" t="e">
        <f t="shared" si="103"/>
        <v>#N/A</v>
      </c>
      <c r="P298" s="34">
        <f>IF(L298="yes", 0, _xlfn.XLOOKUP(F298, 'GHG Emissions Factors'!$B$2:$B$4000, 'GHG Emissions Factors'!$D$2:$D$4000, 0))</f>
        <v>0</v>
      </c>
      <c r="Q298" s="46"/>
      <c r="R298" s="46"/>
      <c r="S298" s="46">
        <f>ProcurementAllocationData[[#This Row],[Net MWhs Procured]]-(ProcurementAllocationData[[#This Row],[Deep Green]]+ProcurementAllocationData[[#This Row],[LocalSol]]+ProcurementAllocationData[[#This Row],[GreenAccess]])</f>
        <v>0</v>
      </c>
      <c r="T298" s="46"/>
      <c r="U298" s="46"/>
      <c r="V298" s="46"/>
      <c r="W298" s="46"/>
      <c r="X298" s="46"/>
      <c r="Y298" s="112">
        <f t="shared" si="104"/>
        <v>0</v>
      </c>
      <c r="Z298" s="150">
        <f t="shared" si="105"/>
        <v>0</v>
      </c>
      <c r="AA298" s="150">
        <f t="shared" si="106"/>
        <v>0</v>
      </c>
      <c r="AB298" s="113">
        <f t="shared" si="107"/>
        <v>0</v>
      </c>
      <c r="AC298" s="36"/>
      <c r="AD298" s="272" t="str">
        <f t="shared" si="108"/>
        <v/>
      </c>
      <c r="AE298" s="273">
        <f t="shared" si="109"/>
        <v>0</v>
      </c>
      <c r="AF298" s="273">
        <f t="shared" si="110"/>
        <v>0</v>
      </c>
      <c r="AG298" s="273">
        <f t="shared" si="111"/>
        <v>0</v>
      </c>
      <c r="AH298" s="273">
        <f t="shared" si="112"/>
        <v>0</v>
      </c>
      <c r="AI298" s="273">
        <f t="shared" si="113"/>
        <v>0</v>
      </c>
      <c r="AJ298" s="273">
        <f t="shared" si="114"/>
        <v>0</v>
      </c>
      <c r="AK298" s="273">
        <f t="shared" si="115"/>
        <v>0</v>
      </c>
      <c r="AL298" s="274">
        <f t="shared" si="116"/>
        <v>0</v>
      </c>
      <c r="AN298" s="75" t="str">
        <f t="shared" si="117"/>
        <v>-</v>
      </c>
      <c r="AO298" s="75" t="str">
        <f t="shared" si="118"/>
        <v>-</v>
      </c>
      <c r="AP298" s="48">
        <f t="shared" si="121"/>
        <v>0</v>
      </c>
      <c r="AQ298" s="48">
        <f t="shared" si="119"/>
        <v>0</v>
      </c>
      <c r="AR298" s="49" t="e">
        <f t="shared" si="120"/>
        <v>#N/A</v>
      </c>
    </row>
    <row r="299" spans="1:44" ht="15">
      <c r="A299" s="38"/>
      <c r="B299" s="38"/>
      <c r="C299" s="38"/>
      <c r="D299" s="38"/>
      <c r="E299" s="38"/>
      <c r="F299" s="38"/>
      <c r="G299" s="47">
        <f t="shared" si="102"/>
        <v>6.5978850116714893E-2</v>
      </c>
      <c r="H299" s="44"/>
      <c r="I299" s="44"/>
      <c r="J299" s="45">
        <f t="shared" si="101"/>
        <v>0</v>
      </c>
      <c r="K299" s="38"/>
      <c r="L299" s="38"/>
      <c r="M299" s="38"/>
      <c r="N299" s="34" t="e">
        <f>VLOOKUP(F299,'GHG Emissions Factors'!$B$2:$C$4000,2,FALSE)</f>
        <v>#N/A</v>
      </c>
      <c r="O299" s="45" t="e">
        <f t="shared" si="103"/>
        <v>#N/A</v>
      </c>
      <c r="P299" s="34">
        <f>IF(L299="yes", 0, _xlfn.XLOOKUP(F299, 'GHG Emissions Factors'!$B$2:$B$4000, 'GHG Emissions Factors'!$D$2:$D$4000, 0))</f>
        <v>0</v>
      </c>
      <c r="Q299" s="46"/>
      <c r="R299" s="46"/>
      <c r="S299" s="46">
        <f>ProcurementAllocationData[[#This Row],[Net MWhs Procured]]-(ProcurementAllocationData[[#This Row],[Deep Green]]+ProcurementAllocationData[[#This Row],[LocalSol]]+ProcurementAllocationData[[#This Row],[GreenAccess]])</f>
        <v>0</v>
      </c>
      <c r="T299" s="46"/>
      <c r="U299" s="46"/>
      <c r="V299" s="46"/>
      <c r="W299" s="46"/>
      <c r="X299" s="46"/>
      <c r="Y299" s="112">
        <f t="shared" si="104"/>
        <v>0</v>
      </c>
      <c r="Z299" s="150">
        <f t="shared" si="105"/>
        <v>0</v>
      </c>
      <c r="AA299" s="150">
        <f t="shared" si="106"/>
        <v>0</v>
      </c>
      <c r="AB299" s="113">
        <f t="shared" si="107"/>
        <v>0</v>
      </c>
      <c r="AC299" s="36"/>
      <c r="AD299" s="272" t="str">
        <f t="shared" si="108"/>
        <v/>
      </c>
      <c r="AE299" s="273">
        <f t="shared" si="109"/>
        <v>0</v>
      </c>
      <c r="AF299" s="273">
        <f t="shared" si="110"/>
        <v>0</v>
      </c>
      <c r="AG299" s="273">
        <f t="shared" si="111"/>
        <v>0</v>
      </c>
      <c r="AH299" s="273">
        <f t="shared" si="112"/>
        <v>0</v>
      </c>
      <c r="AI299" s="273">
        <f t="shared" si="113"/>
        <v>0</v>
      </c>
      <c r="AJ299" s="273">
        <f t="shared" si="114"/>
        <v>0</v>
      </c>
      <c r="AK299" s="273">
        <f t="shared" si="115"/>
        <v>0</v>
      </c>
      <c r="AL299" s="274">
        <f t="shared" si="116"/>
        <v>0</v>
      </c>
      <c r="AN299" s="75" t="str">
        <f t="shared" si="117"/>
        <v>-</v>
      </c>
      <c r="AO299" s="75" t="str">
        <f t="shared" si="118"/>
        <v>-</v>
      </c>
      <c r="AP299" s="48">
        <f t="shared" si="121"/>
        <v>0</v>
      </c>
      <c r="AQ299" s="48">
        <f t="shared" si="119"/>
        <v>0</v>
      </c>
      <c r="AR299" s="49" t="e">
        <f t="shared" si="120"/>
        <v>#N/A</v>
      </c>
    </row>
    <row r="300" spans="1:44" ht="15">
      <c r="A300" s="38"/>
      <c r="B300" s="38"/>
      <c r="C300" s="38"/>
      <c r="D300" s="38"/>
      <c r="E300" s="38"/>
      <c r="F300" s="38"/>
      <c r="G300" s="47">
        <f t="shared" si="102"/>
        <v>6.5978850116714893E-2</v>
      </c>
      <c r="H300" s="44"/>
      <c r="I300" s="44"/>
      <c r="J300" s="45">
        <f t="shared" si="101"/>
        <v>0</v>
      </c>
      <c r="K300" s="38"/>
      <c r="L300" s="38"/>
      <c r="M300" s="38"/>
      <c r="N300" s="34" t="e">
        <f>VLOOKUP(F300,'GHG Emissions Factors'!$B$2:$C$4000,2,FALSE)</f>
        <v>#N/A</v>
      </c>
      <c r="O300" s="45" t="e">
        <f t="shared" si="103"/>
        <v>#N/A</v>
      </c>
      <c r="P300" s="34">
        <f>IF(L300="yes", 0, _xlfn.XLOOKUP(F300, 'GHG Emissions Factors'!$B$2:$B$4000, 'GHG Emissions Factors'!$D$2:$D$4000, 0))</f>
        <v>0</v>
      </c>
      <c r="Q300" s="46"/>
      <c r="R300" s="46"/>
      <c r="S300" s="46">
        <f>ProcurementAllocationData[[#This Row],[Net MWhs Procured]]-(ProcurementAllocationData[[#This Row],[Deep Green]]+ProcurementAllocationData[[#This Row],[LocalSol]]+ProcurementAllocationData[[#This Row],[GreenAccess]])</f>
        <v>0</v>
      </c>
      <c r="T300" s="46"/>
      <c r="U300" s="46"/>
      <c r="V300" s="46"/>
      <c r="W300" s="46"/>
      <c r="X300" s="46"/>
      <c r="Y300" s="112">
        <f t="shared" si="104"/>
        <v>0</v>
      </c>
      <c r="Z300" s="150">
        <f t="shared" si="105"/>
        <v>0</v>
      </c>
      <c r="AA300" s="150">
        <f t="shared" si="106"/>
        <v>0</v>
      </c>
      <c r="AB300" s="113">
        <f t="shared" si="107"/>
        <v>0</v>
      </c>
      <c r="AC300" s="36"/>
      <c r="AD300" s="272" t="str">
        <f t="shared" si="108"/>
        <v/>
      </c>
      <c r="AE300" s="273">
        <f t="shared" si="109"/>
        <v>0</v>
      </c>
      <c r="AF300" s="273">
        <f t="shared" si="110"/>
        <v>0</v>
      </c>
      <c r="AG300" s="273">
        <f t="shared" si="111"/>
        <v>0</v>
      </c>
      <c r="AH300" s="273">
        <f t="shared" si="112"/>
        <v>0</v>
      </c>
      <c r="AI300" s="273">
        <f t="shared" si="113"/>
        <v>0</v>
      </c>
      <c r="AJ300" s="273">
        <f t="shared" si="114"/>
        <v>0</v>
      </c>
      <c r="AK300" s="273">
        <f t="shared" si="115"/>
        <v>0</v>
      </c>
      <c r="AL300" s="274">
        <f t="shared" si="116"/>
        <v>0</v>
      </c>
      <c r="AN300" s="75" t="str">
        <f t="shared" si="117"/>
        <v>-</v>
      </c>
      <c r="AO300" s="75" t="str">
        <f t="shared" si="118"/>
        <v>-</v>
      </c>
      <c r="AP300" s="48">
        <f t="shared" si="121"/>
        <v>0</v>
      </c>
      <c r="AQ300" s="48">
        <f t="shared" si="119"/>
        <v>0</v>
      </c>
      <c r="AR300" s="49" t="e">
        <f t="shared" si="120"/>
        <v>#N/A</v>
      </c>
    </row>
    <row r="301" spans="1:44" ht="15">
      <c r="A301" s="38"/>
      <c r="B301" s="38"/>
      <c r="C301" s="38"/>
      <c r="D301" s="38"/>
      <c r="E301" s="38"/>
      <c r="F301" s="38"/>
      <c r="G301" s="47">
        <f t="shared" si="102"/>
        <v>6.5978850116714893E-2</v>
      </c>
      <c r="H301" s="44"/>
      <c r="I301" s="44"/>
      <c r="J301" s="45">
        <f t="shared" si="101"/>
        <v>0</v>
      </c>
      <c r="K301" s="38"/>
      <c r="L301" s="38"/>
      <c r="M301" s="38"/>
      <c r="N301" s="34" t="e">
        <f>VLOOKUP(F301,'GHG Emissions Factors'!$B$2:$C$4000,2,FALSE)</f>
        <v>#N/A</v>
      </c>
      <c r="O301" s="45" t="e">
        <f t="shared" si="103"/>
        <v>#N/A</v>
      </c>
      <c r="P301" s="34">
        <f>IF(L301="yes", 0, _xlfn.XLOOKUP(F301, 'GHG Emissions Factors'!$B$2:$B$4000, 'GHG Emissions Factors'!$D$2:$D$4000, 0))</f>
        <v>0</v>
      </c>
      <c r="Q301" s="46"/>
      <c r="R301" s="46"/>
      <c r="S301" s="46">
        <f>ProcurementAllocationData[[#This Row],[Net MWhs Procured]]-(ProcurementAllocationData[[#This Row],[Deep Green]]+ProcurementAllocationData[[#This Row],[LocalSol]]+ProcurementAllocationData[[#This Row],[GreenAccess]])</f>
        <v>0</v>
      </c>
      <c r="T301" s="46"/>
      <c r="U301" s="46"/>
      <c r="V301" s="46"/>
      <c r="W301" s="46"/>
      <c r="X301" s="46"/>
      <c r="Y301" s="112">
        <f t="shared" si="104"/>
        <v>0</v>
      </c>
      <c r="Z301" s="150">
        <f t="shared" si="105"/>
        <v>0</v>
      </c>
      <c r="AA301" s="150">
        <f t="shared" si="106"/>
        <v>0</v>
      </c>
      <c r="AB301" s="113">
        <f t="shared" si="107"/>
        <v>0</v>
      </c>
      <c r="AC301" s="36"/>
      <c r="AD301" s="272" t="str">
        <f t="shared" si="108"/>
        <v/>
      </c>
      <c r="AE301" s="273">
        <f t="shared" si="109"/>
        <v>0</v>
      </c>
      <c r="AF301" s="273">
        <f t="shared" si="110"/>
        <v>0</v>
      </c>
      <c r="AG301" s="273">
        <f t="shared" si="111"/>
        <v>0</v>
      </c>
      <c r="AH301" s="273">
        <f t="shared" si="112"/>
        <v>0</v>
      </c>
      <c r="AI301" s="273">
        <f t="shared" si="113"/>
        <v>0</v>
      </c>
      <c r="AJ301" s="273">
        <f t="shared" si="114"/>
        <v>0</v>
      </c>
      <c r="AK301" s="273">
        <f t="shared" si="115"/>
        <v>0</v>
      </c>
      <c r="AL301" s="274">
        <f t="shared" si="116"/>
        <v>0</v>
      </c>
      <c r="AN301" s="75" t="str">
        <f t="shared" si="117"/>
        <v>-</v>
      </c>
      <c r="AO301" s="75" t="str">
        <f t="shared" si="118"/>
        <v>-</v>
      </c>
      <c r="AP301" s="48">
        <f t="shared" si="121"/>
        <v>0</v>
      </c>
      <c r="AQ301" s="48">
        <f t="shared" si="119"/>
        <v>0</v>
      </c>
      <c r="AR301" s="49" t="e">
        <f t="shared" si="120"/>
        <v>#N/A</v>
      </c>
    </row>
    <row r="302" spans="1:44" ht="15">
      <c r="A302" s="38"/>
      <c r="B302" s="38"/>
      <c r="C302" s="38"/>
      <c r="D302" s="38"/>
      <c r="E302" s="38"/>
      <c r="F302" s="38"/>
      <c r="G302" s="47">
        <f t="shared" si="102"/>
        <v>6.5978850116714893E-2</v>
      </c>
      <c r="H302" s="44"/>
      <c r="I302" s="44"/>
      <c r="J302" s="45">
        <f t="shared" si="101"/>
        <v>0</v>
      </c>
      <c r="K302" s="38"/>
      <c r="L302" s="38"/>
      <c r="M302" s="38"/>
      <c r="N302" s="34" t="e">
        <f>VLOOKUP(F302,'GHG Emissions Factors'!$B$2:$C$4000,2,FALSE)</f>
        <v>#N/A</v>
      </c>
      <c r="O302" s="45" t="e">
        <f t="shared" si="103"/>
        <v>#N/A</v>
      </c>
      <c r="P302" s="34">
        <f>IF(L302="yes", 0, _xlfn.XLOOKUP(F302, 'GHG Emissions Factors'!$B$2:$B$4000, 'GHG Emissions Factors'!$D$2:$D$4000, 0))</f>
        <v>0</v>
      </c>
      <c r="Q302" s="46"/>
      <c r="R302" s="46"/>
      <c r="S302" s="46">
        <f>ProcurementAllocationData[[#This Row],[Net MWhs Procured]]-(ProcurementAllocationData[[#This Row],[Deep Green]]+ProcurementAllocationData[[#This Row],[LocalSol]]+ProcurementAllocationData[[#This Row],[GreenAccess]])</f>
        <v>0</v>
      </c>
      <c r="T302" s="46"/>
      <c r="U302" s="46"/>
      <c r="V302" s="46"/>
      <c r="W302" s="46"/>
      <c r="X302" s="46"/>
      <c r="Y302" s="112">
        <f t="shared" si="104"/>
        <v>0</v>
      </c>
      <c r="Z302" s="150">
        <f t="shared" si="105"/>
        <v>0</v>
      </c>
      <c r="AA302" s="150">
        <f t="shared" si="106"/>
        <v>0</v>
      </c>
      <c r="AB302" s="113">
        <f t="shared" si="107"/>
        <v>0</v>
      </c>
      <c r="AC302" s="36"/>
      <c r="AD302" s="272" t="str">
        <f t="shared" si="108"/>
        <v/>
      </c>
      <c r="AE302" s="273">
        <f t="shared" si="109"/>
        <v>0</v>
      </c>
      <c r="AF302" s="273">
        <f t="shared" si="110"/>
        <v>0</v>
      </c>
      <c r="AG302" s="273">
        <f t="shared" si="111"/>
        <v>0</v>
      </c>
      <c r="AH302" s="273">
        <f t="shared" si="112"/>
        <v>0</v>
      </c>
      <c r="AI302" s="273">
        <f t="shared" si="113"/>
        <v>0</v>
      </c>
      <c r="AJ302" s="273">
        <f t="shared" si="114"/>
        <v>0</v>
      </c>
      <c r="AK302" s="273">
        <f t="shared" si="115"/>
        <v>0</v>
      </c>
      <c r="AL302" s="274">
        <f t="shared" si="116"/>
        <v>0</v>
      </c>
      <c r="AN302" s="75" t="str">
        <f t="shared" si="117"/>
        <v>-</v>
      </c>
      <c r="AO302" s="75" t="str">
        <f t="shared" si="118"/>
        <v>-</v>
      </c>
      <c r="AP302" s="48">
        <f t="shared" si="121"/>
        <v>0</v>
      </c>
      <c r="AQ302" s="48">
        <f t="shared" si="119"/>
        <v>0</v>
      </c>
      <c r="AR302" s="49" t="e">
        <f t="shared" si="120"/>
        <v>#N/A</v>
      </c>
    </row>
    <row r="303" spans="1:44" ht="15">
      <c r="A303" s="38"/>
      <c r="B303" s="38"/>
      <c r="C303" s="38"/>
      <c r="D303" s="38"/>
      <c r="E303" s="38"/>
      <c r="F303" s="38"/>
      <c r="G303" s="47">
        <f t="shared" si="102"/>
        <v>6.5978850116714893E-2</v>
      </c>
      <c r="H303" s="44"/>
      <c r="I303" s="44"/>
      <c r="J303" s="45">
        <f t="shared" si="101"/>
        <v>0</v>
      </c>
      <c r="K303" s="38"/>
      <c r="L303" s="38"/>
      <c r="M303" s="38"/>
      <c r="N303" s="34" t="e">
        <f>VLOOKUP(F303,'GHG Emissions Factors'!$B$2:$C$4000,2,FALSE)</f>
        <v>#N/A</v>
      </c>
      <c r="O303" s="45" t="e">
        <f t="shared" si="103"/>
        <v>#N/A</v>
      </c>
      <c r="P303" s="34">
        <f>IF(L303="yes", 0, _xlfn.XLOOKUP(F303, 'GHG Emissions Factors'!$B$2:$B$4000, 'GHG Emissions Factors'!$D$2:$D$4000, 0))</f>
        <v>0</v>
      </c>
      <c r="Q303" s="46"/>
      <c r="R303" s="46"/>
      <c r="S303" s="46">
        <f>ProcurementAllocationData[[#This Row],[Net MWhs Procured]]-(ProcurementAllocationData[[#This Row],[Deep Green]]+ProcurementAllocationData[[#This Row],[LocalSol]]+ProcurementAllocationData[[#This Row],[GreenAccess]])</f>
        <v>0</v>
      </c>
      <c r="T303" s="46"/>
      <c r="U303" s="46"/>
      <c r="V303" s="46"/>
      <c r="W303" s="46"/>
      <c r="X303" s="46"/>
      <c r="Y303" s="112">
        <f t="shared" si="104"/>
        <v>0</v>
      </c>
      <c r="Z303" s="150">
        <f t="shared" si="105"/>
        <v>0</v>
      </c>
      <c r="AA303" s="150">
        <f t="shared" si="106"/>
        <v>0</v>
      </c>
      <c r="AB303" s="113">
        <f t="shared" si="107"/>
        <v>0</v>
      </c>
      <c r="AC303" s="36"/>
      <c r="AD303" s="272" t="str">
        <f t="shared" si="108"/>
        <v/>
      </c>
      <c r="AE303" s="273">
        <f t="shared" si="109"/>
        <v>0</v>
      </c>
      <c r="AF303" s="273">
        <f t="shared" si="110"/>
        <v>0</v>
      </c>
      <c r="AG303" s="273">
        <f t="shared" si="111"/>
        <v>0</v>
      </c>
      <c r="AH303" s="273">
        <f t="shared" si="112"/>
        <v>0</v>
      </c>
      <c r="AI303" s="273">
        <f t="shared" si="113"/>
        <v>0</v>
      </c>
      <c r="AJ303" s="273">
        <f t="shared" si="114"/>
        <v>0</v>
      </c>
      <c r="AK303" s="273">
        <f t="shared" si="115"/>
        <v>0</v>
      </c>
      <c r="AL303" s="274">
        <f t="shared" si="116"/>
        <v>0</v>
      </c>
      <c r="AN303" s="75" t="str">
        <f t="shared" si="117"/>
        <v>-</v>
      </c>
      <c r="AO303" s="75" t="str">
        <f t="shared" si="118"/>
        <v>-</v>
      </c>
      <c r="AP303" s="48">
        <f t="shared" si="121"/>
        <v>0</v>
      </c>
      <c r="AQ303" s="48">
        <f t="shared" si="119"/>
        <v>0</v>
      </c>
      <c r="AR303" s="49" t="e">
        <f t="shared" si="120"/>
        <v>#N/A</v>
      </c>
    </row>
    <row r="304" spans="1:44" ht="15">
      <c r="A304" s="38"/>
      <c r="B304" s="38"/>
      <c r="C304" s="38"/>
      <c r="D304" s="38"/>
      <c r="E304" s="38"/>
      <c r="F304" s="38"/>
      <c r="G304" s="47">
        <f t="shared" si="102"/>
        <v>6.5978850116714893E-2</v>
      </c>
      <c r="H304" s="44"/>
      <c r="I304" s="44"/>
      <c r="J304" s="45">
        <f t="shared" si="101"/>
        <v>0</v>
      </c>
      <c r="K304" s="38"/>
      <c r="L304" s="38"/>
      <c r="M304" s="38"/>
      <c r="N304" s="34" t="e">
        <f>VLOOKUP(F304,'GHG Emissions Factors'!$B$2:$C$4000,2,FALSE)</f>
        <v>#N/A</v>
      </c>
      <c r="O304" s="45" t="e">
        <f t="shared" si="103"/>
        <v>#N/A</v>
      </c>
      <c r="P304" s="34">
        <f>IF(L304="yes", 0, _xlfn.XLOOKUP(F304, 'GHG Emissions Factors'!$B$2:$B$4000, 'GHG Emissions Factors'!$D$2:$D$4000, 0))</f>
        <v>0</v>
      </c>
      <c r="Q304" s="46"/>
      <c r="R304" s="46"/>
      <c r="S304" s="46">
        <f>ProcurementAllocationData[[#This Row],[Net MWhs Procured]]-(ProcurementAllocationData[[#This Row],[Deep Green]]+ProcurementAllocationData[[#This Row],[LocalSol]]+ProcurementAllocationData[[#This Row],[GreenAccess]])</f>
        <v>0</v>
      </c>
      <c r="T304" s="46"/>
      <c r="U304" s="46"/>
      <c r="V304" s="46"/>
      <c r="W304" s="46"/>
      <c r="X304" s="46"/>
      <c r="Y304" s="112">
        <f t="shared" si="104"/>
        <v>0</v>
      </c>
      <c r="Z304" s="150">
        <f t="shared" si="105"/>
        <v>0</v>
      </c>
      <c r="AA304" s="150">
        <f t="shared" si="106"/>
        <v>0</v>
      </c>
      <c r="AB304" s="113">
        <f t="shared" si="107"/>
        <v>0</v>
      </c>
      <c r="AC304" s="36"/>
      <c r="AD304" s="272" t="str">
        <f t="shared" si="108"/>
        <v/>
      </c>
      <c r="AE304" s="273">
        <f t="shared" si="109"/>
        <v>0</v>
      </c>
      <c r="AF304" s="273">
        <f t="shared" si="110"/>
        <v>0</v>
      </c>
      <c r="AG304" s="273">
        <f t="shared" si="111"/>
        <v>0</v>
      </c>
      <c r="AH304" s="273">
        <f t="shared" si="112"/>
        <v>0</v>
      </c>
      <c r="AI304" s="273">
        <f t="shared" si="113"/>
        <v>0</v>
      </c>
      <c r="AJ304" s="273">
        <f t="shared" si="114"/>
        <v>0</v>
      </c>
      <c r="AK304" s="273">
        <f t="shared" si="115"/>
        <v>0</v>
      </c>
      <c r="AL304" s="274">
        <f t="shared" si="116"/>
        <v>0</v>
      </c>
      <c r="AN304" s="75" t="str">
        <f t="shared" si="117"/>
        <v>-</v>
      </c>
      <c r="AO304" s="75" t="str">
        <f t="shared" si="118"/>
        <v>-</v>
      </c>
      <c r="AP304" s="48">
        <f t="shared" si="121"/>
        <v>0</v>
      </c>
      <c r="AQ304" s="48">
        <f t="shared" si="119"/>
        <v>0</v>
      </c>
      <c r="AR304" s="49" t="e">
        <f t="shared" si="120"/>
        <v>#N/A</v>
      </c>
    </row>
    <row r="305" spans="1:44" ht="15">
      <c r="A305" s="38"/>
      <c r="B305" s="38"/>
      <c r="C305" s="38"/>
      <c r="D305" s="38"/>
      <c r="E305" s="38"/>
      <c r="F305" s="38"/>
      <c r="G305" s="47">
        <f t="shared" si="102"/>
        <v>6.5978850116714893E-2</v>
      </c>
      <c r="H305" s="44"/>
      <c r="I305" s="44"/>
      <c r="J305" s="45">
        <f t="shared" si="101"/>
        <v>0</v>
      </c>
      <c r="K305" s="38"/>
      <c r="L305" s="38"/>
      <c r="M305" s="38"/>
      <c r="N305" s="34" t="e">
        <f>VLOOKUP(F305,'GHG Emissions Factors'!$B$2:$C$4000,2,FALSE)</f>
        <v>#N/A</v>
      </c>
      <c r="O305" s="45" t="e">
        <f t="shared" si="103"/>
        <v>#N/A</v>
      </c>
      <c r="P305" s="34">
        <f>IF(L305="yes", 0, _xlfn.XLOOKUP(F305, 'GHG Emissions Factors'!$B$2:$B$4000, 'GHG Emissions Factors'!$D$2:$D$4000, 0))</f>
        <v>0</v>
      </c>
      <c r="Q305" s="46"/>
      <c r="R305" s="46"/>
      <c r="S305" s="46">
        <f>ProcurementAllocationData[[#This Row],[Net MWhs Procured]]-(ProcurementAllocationData[[#This Row],[Deep Green]]+ProcurementAllocationData[[#This Row],[LocalSol]]+ProcurementAllocationData[[#This Row],[GreenAccess]])</f>
        <v>0</v>
      </c>
      <c r="T305" s="46"/>
      <c r="U305" s="46"/>
      <c r="V305" s="46"/>
      <c r="W305" s="46"/>
      <c r="X305" s="46"/>
      <c r="Y305" s="112">
        <f t="shared" si="104"/>
        <v>0</v>
      </c>
      <c r="Z305" s="150">
        <f t="shared" si="105"/>
        <v>0</v>
      </c>
      <c r="AA305" s="150">
        <f t="shared" si="106"/>
        <v>0</v>
      </c>
      <c r="AB305" s="113">
        <f t="shared" si="107"/>
        <v>0</v>
      </c>
      <c r="AC305" s="36"/>
      <c r="AD305" s="272" t="str">
        <f t="shared" si="108"/>
        <v/>
      </c>
      <c r="AE305" s="273">
        <f t="shared" si="109"/>
        <v>0</v>
      </c>
      <c r="AF305" s="273">
        <f t="shared" si="110"/>
        <v>0</v>
      </c>
      <c r="AG305" s="273">
        <f t="shared" si="111"/>
        <v>0</v>
      </c>
      <c r="AH305" s="273">
        <f t="shared" si="112"/>
        <v>0</v>
      </c>
      <c r="AI305" s="273">
        <f t="shared" si="113"/>
        <v>0</v>
      </c>
      <c r="AJ305" s="273">
        <f t="shared" si="114"/>
        <v>0</v>
      </c>
      <c r="AK305" s="273">
        <f t="shared" si="115"/>
        <v>0</v>
      </c>
      <c r="AL305" s="274">
        <f t="shared" si="116"/>
        <v>0</v>
      </c>
      <c r="AN305" s="75" t="str">
        <f t="shared" si="117"/>
        <v>-</v>
      </c>
      <c r="AO305" s="75" t="str">
        <f t="shared" si="118"/>
        <v>-</v>
      </c>
      <c r="AP305" s="48">
        <f t="shared" si="121"/>
        <v>0</v>
      </c>
      <c r="AQ305" s="48">
        <f t="shared" si="119"/>
        <v>0</v>
      </c>
      <c r="AR305" s="49" t="e">
        <f t="shared" si="120"/>
        <v>#N/A</v>
      </c>
    </row>
    <row r="306" spans="1:44" ht="15">
      <c r="A306" s="38"/>
      <c r="B306" s="38"/>
      <c r="C306" s="38"/>
      <c r="D306" s="38"/>
      <c r="E306" s="38"/>
      <c r="F306" s="38"/>
      <c r="G306" s="47">
        <f t="shared" si="102"/>
        <v>6.5978850116714893E-2</v>
      </c>
      <c r="H306" s="44"/>
      <c r="I306" s="44"/>
      <c r="J306" s="45">
        <f t="shared" si="101"/>
        <v>0</v>
      </c>
      <c r="K306" s="38"/>
      <c r="L306" s="38"/>
      <c r="M306" s="38"/>
      <c r="N306" s="34" t="e">
        <f>VLOOKUP(F306,'GHG Emissions Factors'!$B$2:$C$4000,2,FALSE)</f>
        <v>#N/A</v>
      </c>
      <c r="O306" s="45" t="e">
        <f t="shared" si="103"/>
        <v>#N/A</v>
      </c>
      <c r="P306" s="34">
        <f>IF(L306="yes", 0, _xlfn.XLOOKUP(F306, 'GHG Emissions Factors'!$B$2:$B$4000, 'GHG Emissions Factors'!$D$2:$D$4000, 0))</f>
        <v>0</v>
      </c>
      <c r="Q306" s="46"/>
      <c r="R306" s="46"/>
      <c r="S306" s="46">
        <f>ProcurementAllocationData[[#This Row],[Net MWhs Procured]]-(ProcurementAllocationData[[#This Row],[Deep Green]]+ProcurementAllocationData[[#This Row],[LocalSol]]+ProcurementAllocationData[[#This Row],[GreenAccess]])</f>
        <v>0</v>
      </c>
      <c r="T306" s="46"/>
      <c r="U306" s="46"/>
      <c r="V306" s="46"/>
      <c r="W306" s="46"/>
      <c r="X306" s="46"/>
      <c r="Y306" s="112">
        <f t="shared" si="104"/>
        <v>0</v>
      </c>
      <c r="Z306" s="150">
        <f t="shared" si="105"/>
        <v>0</v>
      </c>
      <c r="AA306" s="150">
        <f t="shared" si="106"/>
        <v>0</v>
      </c>
      <c r="AB306" s="113">
        <f t="shared" si="107"/>
        <v>0</v>
      </c>
      <c r="AC306" s="36"/>
      <c r="AD306" s="272" t="str">
        <f t="shared" si="108"/>
        <v/>
      </c>
      <c r="AE306" s="273">
        <f t="shared" si="109"/>
        <v>0</v>
      </c>
      <c r="AF306" s="273">
        <f t="shared" si="110"/>
        <v>0</v>
      </c>
      <c r="AG306" s="273">
        <f t="shared" si="111"/>
        <v>0</v>
      </c>
      <c r="AH306" s="273">
        <f t="shared" si="112"/>
        <v>0</v>
      </c>
      <c r="AI306" s="273">
        <f t="shared" si="113"/>
        <v>0</v>
      </c>
      <c r="AJ306" s="273">
        <f t="shared" si="114"/>
        <v>0</v>
      </c>
      <c r="AK306" s="273">
        <f t="shared" si="115"/>
        <v>0</v>
      </c>
      <c r="AL306" s="274">
        <f t="shared" si="116"/>
        <v>0</v>
      </c>
      <c r="AN306" s="75" t="str">
        <f t="shared" si="117"/>
        <v>-</v>
      </c>
      <c r="AO306" s="75" t="str">
        <f t="shared" si="118"/>
        <v>-</v>
      </c>
      <c r="AP306" s="48">
        <f t="shared" si="121"/>
        <v>0</v>
      </c>
      <c r="AQ306" s="48">
        <f t="shared" si="119"/>
        <v>0</v>
      </c>
      <c r="AR306" s="49" t="e">
        <f t="shared" si="120"/>
        <v>#N/A</v>
      </c>
    </row>
    <row r="307" spans="1:44" ht="15">
      <c r="A307" s="38"/>
      <c r="B307" s="38"/>
      <c r="C307" s="38"/>
      <c r="D307" s="38"/>
      <c r="E307" s="38"/>
      <c r="F307" s="38"/>
      <c r="G307" s="47">
        <f t="shared" si="102"/>
        <v>6.5978850116714893E-2</v>
      </c>
      <c r="H307" s="44"/>
      <c r="I307" s="44"/>
      <c r="J307" s="45">
        <f t="shared" si="101"/>
        <v>0</v>
      </c>
      <c r="K307" s="38"/>
      <c r="L307" s="38"/>
      <c r="M307" s="38"/>
      <c r="N307" s="34" t="e">
        <f>VLOOKUP(F307,'GHG Emissions Factors'!$B$2:$C$4000,2,FALSE)</f>
        <v>#N/A</v>
      </c>
      <c r="O307" s="45" t="e">
        <f t="shared" si="103"/>
        <v>#N/A</v>
      </c>
      <c r="P307" s="34">
        <f>IF(L307="yes", 0, _xlfn.XLOOKUP(F307, 'GHG Emissions Factors'!$B$2:$B$4000, 'GHG Emissions Factors'!$D$2:$D$4000, 0))</f>
        <v>0</v>
      </c>
      <c r="Q307" s="46"/>
      <c r="R307" s="46"/>
      <c r="S307" s="46">
        <f>ProcurementAllocationData[[#This Row],[Net MWhs Procured]]-(ProcurementAllocationData[[#This Row],[Deep Green]]+ProcurementAllocationData[[#This Row],[LocalSol]]+ProcurementAllocationData[[#This Row],[GreenAccess]])</f>
        <v>0</v>
      </c>
      <c r="T307" s="46"/>
      <c r="U307" s="46"/>
      <c r="V307" s="46"/>
      <c r="W307" s="46"/>
      <c r="X307" s="46"/>
      <c r="Y307" s="112">
        <f t="shared" si="104"/>
        <v>0</v>
      </c>
      <c r="Z307" s="150">
        <f t="shared" si="105"/>
        <v>0</v>
      </c>
      <c r="AA307" s="150">
        <f t="shared" si="106"/>
        <v>0</v>
      </c>
      <c r="AB307" s="113">
        <f t="shared" si="107"/>
        <v>0</v>
      </c>
      <c r="AC307" s="36"/>
      <c r="AD307" s="272" t="str">
        <f t="shared" si="108"/>
        <v/>
      </c>
      <c r="AE307" s="273">
        <f t="shared" si="109"/>
        <v>0</v>
      </c>
      <c r="AF307" s="273">
        <f t="shared" si="110"/>
        <v>0</v>
      </c>
      <c r="AG307" s="273">
        <f t="shared" si="111"/>
        <v>0</v>
      </c>
      <c r="AH307" s="273">
        <f t="shared" si="112"/>
        <v>0</v>
      </c>
      <c r="AI307" s="273">
        <f t="shared" si="113"/>
        <v>0</v>
      </c>
      <c r="AJ307" s="273">
        <f t="shared" si="114"/>
        <v>0</v>
      </c>
      <c r="AK307" s="273">
        <f t="shared" si="115"/>
        <v>0</v>
      </c>
      <c r="AL307" s="274">
        <f t="shared" si="116"/>
        <v>0</v>
      </c>
      <c r="AN307" s="75" t="str">
        <f t="shared" si="117"/>
        <v>-</v>
      </c>
      <c r="AO307" s="75" t="str">
        <f t="shared" si="118"/>
        <v>-</v>
      </c>
      <c r="AP307" s="48">
        <f t="shared" si="121"/>
        <v>0</v>
      </c>
      <c r="AQ307" s="48">
        <f t="shared" si="119"/>
        <v>0</v>
      </c>
      <c r="AR307" s="49" t="e">
        <f t="shared" si="120"/>
        <v>#N/A</v>
      </c>
    </row>
    <row r="308" spans="1:44" ht="15">
      <c r="A308" s="38"/>
      <c r="B308" s="38"/>
      <c r="C308" s="38"/>
      <c r="D308" s="38"/>
      <c r="E308" s="38"/>
      <c r="F308" s="38"/>
      <c r="G308" s="47">
        <f t="shared" si="102"/>
        <v>6.5978850116714893E-2</v>
      </c>
      <c r="H308" s="44"/>
      <c r="I308" s="44"/>
      <c r="J308" s="45">
        <f t="shared" ref="J308:J371" si="122">H308-I308</f>
        <v>0</v>
      </c>
      <c r="K308" s="38"/>
      <c r="L308" s="38"/>
      <c r="M308" s="38"/>
      <c r="N308" s="34" t="e">
        <f>VLOOKUP(F308,'GHG Emissions Factors'!$B$2:$C$4000,2,FALSE)</f>
        <v>#N/A</v>
      </c>
      <c r="O308" s="45" t="e">
        <f t="shared" si="103"/>
        <v>#N/A</v>
      </c>
      <c r="P308" s="34">
        <f>IF(L308="yes", 0, _xlfn.XLOOKUP(F308, 'GHG Emissions Factors'!$B$2:$B$4000, 'GHG Emissions Factors'!$D$2:$D$4000, 0))</f>
        <v>0</v>
      </c>
      <c r="Q308" s="46"/>
      <c r="R308" s="46"/>
      <c r="S308" s="46">
        <f>ProcurementAllocationData[[#This Row],[Net MWhs Procured]]-(ProcurementAllocationData[[#This Row],[Deep Green]]+ProcurementAllocationData[[#This Row],[LocalSol]]+ProcurementAllocationData[[#This Row],[GreenAccess]])</f>
        <v>0</v>
      </c>
      <c r="T308" s="46"/>
      <c r="U308" s="46"/>
      <c r="V308" s="46"/>
      <c r="W308" s="46"/>
      <c r="X308" s="46"/>
      <c r="Y308" s="112">
        <f t="shared" si="104"/>
        <v>0</v>
      </c>
      <c r="Z308" s="150">
        <f t="shared" si="105"/>
        <v>0</v>
      </c>
      <c r="AA308" s="150">
        <f t="shared" si="106"/>
        <v>0</v>
      </c>
      <c r="AB308" s="113">
        <f t="shared" si="107"/>
        <v>0</v>
      </c>
      <c r="AC308" s="36"/>
      <c r="AD308" s="272" t="str">
        <f t="shared" si="108"/>
        <v/>
      </c>
      <c r="AE308" s="273">
        <f t="shared" si="109"/>
        <v>0</v>
      </c>
      <c r="AF308" s="273">
        <f t="shared" si="110"/>
        <v>0</v>
      </c>
      <c r="AG308" s="273">
        <f t="shared" si="111"/>
        <v>0</v>
      </c>
      <c r="AH308" s="273">
        <f t="shared" si="112"/>
        <v>0</v>
      </c>
      <c r="AI308" s="273">
        <f t="shared" si="113"/>
        <v>0</v>
      </c>
      <c r="AJ308" s="273">
        <f t="shared" si="114"/>
        <v>0</v>
      </c>
      <c r="AK308" s="273">
        <f t="shared" si="115"/>
        <v>0</v>
      </c>
      <c r="AL308" s="274">
        <f t="shared" si="116"/>
        <v>0</v>
      </c>
      <c r="AN308" s="75" t="str">
        <f t="shared" si="117"/>
        <v>-</v>
      </c>
      <c r="AO308" s="75" t="str">
        <f t="shared" si="118"/>
        <v>-</v>
      </c>
      <c r="AP308" s="48">
        <f t="shared" si="121"/>
        <v>0</v>
      </c>
      <c r="AQ308" s="48">
        <f t="shared" si="119"/>
        <v>0</v>
      </c>
      <c r="AR308" s="49" t="e">
        <f t="shared" si="120"/>
        <v>#N/A</v>
      </c>
    </row>
    <row r="309" spans="1:44" ht="15">
      <c r="A309" s="38"/>
      <c r="B309" s="38"/>
      <c r="C309" s="38"/>
      <c r="D309" s="38"/>
      <c r="E309" s="38"/>
      <c r="F309" s="38"/>
      <c r="G309" s="47">
        <f t="shared" si="102"/>
        <v>6.5978850116714893E-2</v>
      </c>
      <c r="H309" s="44"/>
      <c r="I309" s="44"/>
      <c r="J309" s="45">
        <f t="shared" si="122"/>
        <v>0</v>
      </c>
      <c r="K309" s="38"/>
      <c r="L309" s="38"/>
      <c r="M309" s="38"/>
      <c r="N309" s="34" t="e">
        <f>VLOOKUP(F309,'GHG Emissions Factors'!$B$2:$C$4000,2,FALSE)</f>
        <v>#N/A</v>
      </c>
      <c r="O309" s="45" t="e">
        <f t="shared" si="103"/>
        <v>#N/A</v>
      </c>
      <c r="P309" s="34">
        <f>IF(L309="yes", 0, _xlfn.XLOOKUP(F309, 'GHG Emissions Factors'!$B$2:$B$4000, 'GHG Emissions Factors'!$D$2:$D$4000, 0))</f>
        <v>0</v>
      </c>
      <c r="Q309" s="46"/>
      <c r="R309" s="46"/>
      <c r="S309" s="46">
        <f>ProcurementAllocationData[[#This Row],[Net MWhs Procured]]-(ProcurementAllocationData[[#This Row],[Deep Green]]+ProcurementAllocationData[[#This Row],[LocalSol]]+ProcurementAllocationData[[#This Row],[GreenAccess]])</f>
        <v>0</v>
      </c>
      <c r="T309" s="46"/>
      <c r="U309" s="46"/>
      <c r="V309" s="46"/>
      <c r="W309" s="46"/>
      <c r="X309" s="46"/>
      <c r="Y309" s="112">
        <f t="shared" si="104"/>
        <v>0</v>
      </c>
      <c r="Z309" s="150">
        <f t="shared" si="105"/>
        <v>0</v>
      </c>
      <c r="AA309" s="150">
        <f t="shared" si="106"/>
        <v>0</v>
      </c>
      <c r="AB309" s="113">
        <f t="shared" si="107"/>
        <v>0</v>
      </c>
      <c r="AC309" s="36"/>
      <c r="AD309" s="272" t="str">
        <f t="shared" si="108"/>
        <v/>
      </c>
      <c r="AE309" s="273">
        <f t="shared" si="109"/>
        <v>0</v>
      </c>
      <c r="AF309" s="273">
        <f t="shared" si="110"/>
        <v>0</v>
      </c>
      <c r="AG309" s="273">
        <f t="shared" si="111"/>
        <v>0</v>
      </c>
      <c r="AH309" s="273">
        <f t="shared" si="112"/>
        <v>0</v>
      </c>
      <c r="AI309" s="273">
        <f t="shared" si="113"/>
        <v>0</v>
      </c>
      <c r="AJ309" s="273">
        <f t="shared" si="114"/>
        <v>0</v>
      </c>
      <c r="AK309" s="273">
        <f t="shared" si="115"/>
        <v>0</v>
      </c>
      <c r="AL309" s="274">
        <f t="shared" si="116"/>
        <v>0</v>
      </c>
      <c r="AN309" s="75" t="str">
        <f t="shared" si="117"/>
        <v>-</v>
      </c>
      <c r="AO309" s="75" t="str">
        <f t="shared" si="118"/>
        <v>-</v>
      </c>
      <c r="AP309" s="48">
        <f t="shared" si="121"/>
        <v>0</v>
      </c>
      <c r="AQ309" s="48">
        <f t="shared" si="119"/>
        <v>0</v>
      </c>
      <c r="AR309" s="49" t="e">
        <f t="shared" si="120"/>
        <v>#N/A</v>
      </c>
    </row>
    <row r="310" spans="1:44" ht="15">
      <c r="A310" s="38"/>
      <c r="B310" s="38"/>
      <c r="C310" s="38"/>
      <c r="D310" s="38"/>
      <c r="E310" s="38"/>
      <c r="F310" s="38"/>
      <c r="G310" s="47">
        <f t="shared" si="102"/>
        <v>6.5978850116714893E-2</v>
      </c>
      <c r="H310" s="44"/>
      <c r="I310" s="44"/>
      <c r="J310" s="45">
        <f t="shared" si="122"/>
        <v>0</v>
      </c>
      <c r="K310" s="38"/>
      <c r="L310" s="38"/>
      <c r="M310" s="38"/>
      <c r="N310" s="34" t="e">
        <f>VLOOKUP(F310,'GHG Emissions Factors'!$B$2:$C$4000,2,FALSE)</f>
        <v>#N/A</v>
      </c>
      <c r="O310" s="45" t="e">
        <f t="shared" si="103"/>
        <v>#N/A</v>
      </c>
      <c r="P310" s="34">
        <f>IF(L310="yes", 0, _xlfn.XLOOKUP(F310, 'GHG Emissions Factors'!$B$2:$B$4000, 'GHG Emissions Factors'!$D$2:$D$4000, 0))</f>
        <v>0</v>
      </c>
      <c r="Q310" s="46"/>
      <c r="R310" s="46"/>
      <c r="S310" s="46">
        <f>ProcurementAllocationData[[#This Row],[Net MWhs Procured]]-(ProcurementAllocationData[[#This Row],[Deep Green]]+ProcurementAllocationData[[#This Row],[LocalSol]]+ProcurementAllocationData[[#This Row],[GreenAccess]])</f>
        <v>0</v>
      </c>
      <c r="T310" s="46"/>
      <c r="U310" s="46"/>
      <c r="V310" s="46"/>
      <c r="W310" s="46"/>
      <c r="X310" s="46"/>
      <c r="Y310" s="112">
        <f t="shared" si="104"/>
        <v>0</v>
      </c>
      <c r="Z310" s="150">
        <f t="shared" si="105"/>
        <v>0</v>
      </c>
      <c r="AA310" s="150">
        <f t="shared" si="106"/>
        <v>0</v>
      </c>
      <c r="AB310" s="113">
        <f t="shared" si="107"/>
        <v>0</v>
      </c>
      <c r="AC310" s="36"/>
      <c r="AD310" s="272" t="str">
        <f t="shared" si="108"/>
        <v/>
      </c>
      <c r="AE310" s="273">
        <f t="shared" si="109"/>
        <v>0</v>
      </c>
      <c r="AF310" s="273">
        <f t="shared" si="110"/>
        <v>0</v>
      </c>
      <c r="AG310" s="273">
        <f t="shared" si="111"/>
        <v>0</v>
      </c>
      <c r="AH310" s="273">
        <f t="shared" si="112"/>
        <v>0</v>
      </c>
      <c r="AI310" s="273">
        <f t="shared" si="113"/>
        <v>0</v>
      </c>
      <c r="AJ310" s="273">
        <f t="shared" si="114"/>
        <v>0</v>
      </c>
      <c r="AK310" s="273">
        <f t="shared" si="115"/>
        <v>0</v>
      </c>
      <c r="AL310" s="274">
        <f t="shared" si="116"/>
        <v>0</v>
      </c>
      <c r="AN310" s="75" t="str">
        <f t="shared" si="117"/>
        <v>-</v>
      </c>
      <c r="AO310" s="75" t="str">
        <f t="shared" si="118"/>
        <v>-</v>
      </c>
      <c r="AP310" s="48">
        <f t="shared" si="121"/>
        <v>0</v>
      </c>
      <c r="AQ310" s="48">
        <f t="shared" si="119"/>
        <v>0</v>
      </c>
      <c r="AR310" s="49" t="e">
        <f t="shared" si="120"/>
        <v>#N/A</v>
      </c>
    </row>
    <row r="311" spans="1:44" ht="15">
      <c r="A311" s="38"/>
      <c r="B311" s="38"/>
      <c r="C311" s="38"/>
      <c r="D311" s="38"/>
      <c r="E311" s="38"/>
      <c r="F311" s="38"/>
      <c r="G311" s="47">
        <f t="shared" si="102"/>
        <v>6.5978850116714893E-2</v>
      </c>
      <c r="H311" s="44"/>
      <c r="I311" s="44"/>
      <c r="J311" s="45">
        <f t="shared" si="122"/>
        <v>0</v>
      </c>
      <c r="K311" s="38"/>
      <c r="L311" s="38"/>
      <c r="M311" s="38"/>
      <c r="N311" s="34" t="e">
        <f>VLOOKUP(F311,'GHG Emissions Factors'!$B$2:$C$4000,2,FALSE)</f>
        <v>#N/A</v>
      </c>
      <c r="O311" s="45" t="e">
        <f t="shared" si="103"/>
        <v>#N/A</v>
      </c>
      <c r="P311" s="34">
        <f>IF(L311="yes", 0, _xlfn.XLOOKUP(F311, 'GHG Emissions Factors'!$B$2:$B$4000, 'GHG Emissions Factors'!$D$2:$D$4000, 0))</f>
        <v>0</v>
      </c>
      <c r="Q311" s="46"/>
      <c r="R311" s="46"/>
      <c r="S311" s="46">
        <f>ProcurementAllocationData[[#This Row],[Net MWhs Procured]]-(ProcurementAllocationData[[#This Row],[Deep Green]]+ProcurementAllocationData[[#This Row],[LocalSol]]+ProcurementAllocationData[[#This Row],[GreenAccess]])</f>
        <v>0</v>
      </c>
      <c r="T311" s="46"/>
      <c r="U311" s="46"/>
      <c r="V311" s="46"/>
      <c r="W311" s="46"/>
      <c r="X311" s="46"/>
      <c r="Y311" s="112">
        <f t="shared" si="104"/>
        <v>0</v>
      </c>
      <c r="Z311" s="150">
        <f t="shared" si="105"/>
        <v>0</v>
      </c>
      <c r="AA311" s="150">
        <f t="shared" si="106"/>
        <v>0</v>
      </c>
      <c r="AB311" s="113">
        <f t="shared" si="107"/>
        <v>0</v>
      </c>
      <c r="AC311" s="36"/>
      <c r="AD311" s="272" t="str">
        <f t="shared" si="108"/>
        <v/>
      </c>
      <c r="AE311" s="273">
        <f t="shared" si="109"/>
        <v>0</v>
      </c>
      <c r="AF311" s="273">
        <f t="shared" si="110"/>
        <v>0</v>
      </c>
      <c r="AG311" s="273">
        <f t="shared" si="111"/>
        <v>0</v>
      </c>
      <c r="AH311" s="273">
        <f t="shared" si="112"/>
        <v>0</v>
      </c>
      <c r="AI311" s="273">
        <f t="shared" si="113"/>
        <v>0</v>
      </c>
      <c r="AJ311" s="273">
        <f t="shared" si="114"/>
        <v>0</v>
      </c>
      <c r="AK311" s="273">
        <f t="shared" si="115"/>
        <v>0</v>
      </c>
      <c r="AL311" s="274">
        <f t="shared" si="116"/>
        <v>0</v>
      </c>
      <c r="AN311" s="75" t="str">
        <f t="shared" si="117"/>
        <v>-</v>
      </c>
      <c r="AO311" s="75" t="str">
        <f t="shared" si="118"/>
        <v>-</v>
      </c>
      <c r="AP311" s="48">
        <f t="shared" si="121"/>
        <v>0</v>
      </c>
      <c r="AQ311" s="48">
        <f t="shared" si="119"/>
        <v>0</v>
      </c>
      <c r="AR311" s="49" t="e">
        <f t="shared" si="120"/>
        <v>#N/A</v>
      </c>
    </row>
    <row r="312" spans="1:44" ht="15">
      <c r="A312" s="38"/>
      <c r="B312" s="38"/>
      <c r="C312" s="38"/>
      <c r="D312" s="38"/>
      <c r="E312" s="38"/>
      <c r="F312" s="38"/>
      <c r="G312" s="47">
        <f t="shared" si="102"/>
        <v>6.5978850116714893E-2</v>
      </c>
      <c r="H312" s="44"/>
      <c r="I312" s="44"/>
      <c r="J312" s="45">
        <f t="shared" si="122"/>
        <v>0</v>
      </c>
      <c r="K312" s="38"/>
      <c r="L312" s="38"/>
      <c r="M312" s="38"/>
      <c r="N312" s="34" t="e">
        <f>VLOOKUP(F312,'GHG Emissions Factors'!$B$2:$C$4000,2,FALSE)</f>
        <v>#N/A</v>
      </c>
      <c r="O312" s="45" t="e">
        <f t="shared" si="103"/>
        <v>#N/A</v>
      </c>
      <c r="P312" s="34">
        <f>IF(L312="yes", 0, _xlfn.XLOOKUP(F312, 'GHG Emissions Factors'!$B$2:$B$4000, 'GHG Emissions Factors'!$D$2:$D$4000, 0))</f>
        <v>0</v>
      </c>
      <c r="Q312" s="46"/>
      <c r="R312" s="46"/>
      <c r="S312" s="46">
        <f>ProcurementAllocationData[[#This Row],[Net MWhs Procured]]-(ProcurementAllocationData[[#This Row],[Deep Green]]+ProcurementAllocationData[[#This Row],[LocalSol]]+ProcurementAllocationData[[#This Row],[GreenAccess]])</f>
        <v>0</v>
      </c>
      <c r="T312" s="46"/>
      <c r="U312" s="46"/>
      <c r="V312" s="46"/>
      <c r="W312" s="46"/>
      <c r="X312" s="46"/>
      <c r="Y312" s="112">
        <f t="shared" si="104"/>
        <v>0</v>
      </c>
      <c r="Z312" s="150">
        <f t="shared" si="105"/>
        <v>0</v>
      </c>
      <c r="AA312" s="150">
        <f t="shared" si="106"/>
        <v>0</v>
      </c>
      <c r="AB312" s="113">
        <f t="shared" si="107"/>
        <v>0</v>
      </c>
      <c r="AC312" s="36"/>
      <c r="AD312" s="272" t="str">
        <f t="shared" si="108"/>
        <v/>
      </c>
      <c r="AE312" s="273">
        <f t="shared" si="109"/>
        <v>0</v>
      </c>
      <c r="AF312" s="273">
        <f t="shared" si="110"/>
        <v>0</v>
      </c>
      <c r="AG312" s="273">
        <f t="shared" si="111"/>
        <v>0</v>
      </c>
      <c r="AH312" s="273">
        <f t="shared" si="112"/>
        <v>0</v>
      </c>
      <c r="AI312" s="273">
        <f t="shared" si="113"/>
        <v>0</v>
      </c>
      <c r="AJ312" s="273">
        <f t="shared" si="114"/>
        <v>0</v>
      </c>
      <c r="AK312" s="273">
        <f t="shared" si="115"/>
        <v>0</v>
      </c>
      <c r="AL312" s="274">
        <f t="shared" si="116"/>
        <v>0</v>
      </c>
      <c r="AN312" s="75" t="str">
        <f t="shared" si="117"/>
        <v>-</v>
      </c>
      <c r="AO312" s="75" t="str">
        <f t="shared" si="118"/>
        <v>-</v>
      </c>
      <c r="AP312" s="48">
        <f t="shared" si="121"/>
        <v>0</v>
      </c>
      <c r="AQ312" s="48">
        <f t="shared" si="119"/>
        <v>0</v>
      </c>
      <c r="AR312" s="49" t="e">
        <f t="shared" si="120"/>
        <v>#N/A</v>
      </c>
    </row>
    <row r="313" spans="1:44" ht="15">
      <c r="A313" s="38"/>
      <c r="B313" s="38"/>
      <c r="C313" s="38"/>
      <c r="D313" s="38"/>
      <c r="E313" s="38"/>
      <c r="F313" s="38"/>
      <c r="G313" s="47">
        <f t="shared" si="102"/>
        <v>6.5978850116714893E-2</v>
      </c>
      <c r="H313" s="44"/>
      <c r="I313" s="44"/>
      <c r="J313" s="45">
        <f t="shared" si="122"/>
        <v>0</v>
      </c>
      <c r="K313" s="38"/>
      <c r="L313" s="38"/>
      <c r="M313" s="38"/>
      <c r="N313" s="34" t="e">
        <f>VLOOKUP(F313,'GHG Emissions Factors'!$B$2:$C$4000,2,FALSE)</f>
        <v>#N/A</v>
      </c>
      <c r="O313" s="45" t="e">
        <f t="shared" si="103"/>
        <v>#N/A</v>
      </c>
      <c r="P313" s="34">
        <f>IF(L313="yes", 0, _xlfn.XLOOKUP(F313, 'GHG Emissions Factors'!$B$2:$B$4000, 'GHG Emissions Factors'!$D$2:$D$4000, 0))</f>
        <v>0</v>
      </c>
      <c r="Q313" s="46"/>
      <c r="R313" s="46"/>
      <c r="S313" s="46">
        <f>ProcurementAllocationData[[#This Row],[Net MWhs Procured]]-(ProcurementAllocationData[[#This Row],[Deep Green]]+ProcurementAllocationData[[#This Row],[LocalSol]]+ProcurementAllocationData[[#This Row],[GreenAccess]])</f>
        <v>0</v>
      </c>
      <c r="T313" s="46"/>
      <c r="U313" s="46"/>
      <c r="V313" s="46"/>
      <c r="W313" s="46"/>
      <c r="X313" s="46"/>
      <c r="Y313" s="112">
        <f t="shared" si="104"/>
        <v>0</v>
      </c>
      <c r="Z313" s="150">
        <f t="shared" si="105"/>
        <v>0</v>
      </c>
      <c r="AA313" s="150">
        <f t="shared" si="106"/>
        <v>0</v>
      </c>
      <c r="AB313" s="113">
        <f t="shared" si="107"/>
        <v>0</v>
      </c>
      <c r="AC313" s="36"/>
      <c r="AD313" s="272" t="str">
        <f t="shared" si="108"/>
        <v/>
      </c>
      <c r="AE313" s="273">
        <f t="shared" si="109"/>
        <v>0</v>
      </c>
      <c r="AF313" s="273">
        <f t="shared" si="110"/>
        <v>0</v>
      </c>
      <c r="AG313" s="273">
        <f t="shared" si="111"/>
        <v>0</v>
      </c>
      <c r="AH313" s="273">
        <f t="shared" si="112"/>
        <v>0</v>
      </c>
      <c r="AI313" s="273">
        <f t="shared" si="113"/>
        <v>0</v>
      </c>
      <c r="AJ313" s="273">
        <f t="shared" si="114"/>
        <v>0</v>
      </c>
      <c r="AK313" s="273">
        <f t="shared" si="115"/>
        <v>0</v>
      </c>
      <c r="AL313" s="274">
        <f t="shared" si="116"/>
        <v>0</v>
      </c>
      <c r="AN313" s="75" t="str">
        <f t="shared" si="117"/>
        <v>-</v>
      </c>
      <c r="AO313" s="75" t="str">
        <f t="shared" si="118"/>
        <v>-</v>
      </c>
      <c r="AP313" s="48">
        <f t="shared" si="121"/>
        <v>0</v>
      </c>
      <c r="AQ313" s="48">
        <f t="shared" si="119"/>
        <v>0</v>
      </c>
      <c r="AR313" s="49" t="e">
        <f t="shared" si="120"/>
        <v>#N/A</v>
      </c>
    </row>
    <row r="314" spans="1:44" ht="15">
      <c r="A314" s="38"/>
      <c r="B314" s="38"/>
      <c r="C314" s="38"/>
      <c r="D314" s="38"/>
      <c r="E314" s="38"/>
      <c r="F314" s="38"/>
      <c r="G314" s="47">
        <f t="shared" si="102"/>
        <v>6.5978850116714893E-2</v>
      </c>
      <c r="H314" s="44"/>
      <c r="I314" s="44"/>
      <c r="J314" s="45">
        <f t="shared" si="122"/>
        <v>0</v>
      </c>
      <c r="K314" s="38"/>
      <c r="L314" s="38"/>
      <c r="M314" s="38"/>
      <c r="N314" s="34" t="e">
        <f>VLOOKUP(F314,'GHG Emissions Factors'!$B$2:$C$4000,2,FALSE)</f>
        <v>#N/A</v>
      </c>
      <c r="O314" s="45" t="e">
        <f t="shared" si="103"/>
        <v>#N/A</v>
      </c>
      <c r="P314" s="34">
        <f>IF(L314="yes", 0, _xlfn.XLOOKUP(F314, 'GHG Emissions Factors'!$B$2:$B$4000, 'GHG Emissions Factors'!$D$2:$D$4000, 0))</f>
        <v>0</v>
      </c>
      <c r="Q314" s="46"/>
      <c r="R314" s="46"/>
      <c r="S314" s="46">
        <f>ProcurementAllocationData[[#This Row],[Net MWhs Procured]]-(ProcurementAllocationData[[#This Row],[Deep Green]]+ProcurementAllocationData[[#This Row],[LocalSol]]+ProcurementAllocationData[[#This Row],[GreenAccess]])</f>
        <v>0</v>
      </c>
      <c r="T314" s="46"/>
      <c r="U314" s="46"/>
      <c r="V314" s="46"/>
      <c r="W314" s="46"/>
      <c r="X314" s="46"/>
      <c r="Y314" s="112">
        <f t="shared" si="104"/>
        <v>0</v>
      </c>
      <c r="Z314" s="150">
        <f t="shared" si="105"/>
        <v>0</v>
      </c>
      <c r="AA314" s="150">
        <f t="shared" si="106"/>
        <v>0</v>
      </c>
      <c r="AB314" s="113">
        <f t="shared" si="107"/>
        <v>0</v>
      </c>
      <c r="AC314" s="36"/>
      <c r="AD314" s="272" t="str">
        <f t="shared" si="108"/>
        <v/>
      </c>
      <c r="AE314" s="273">
        <f t="shared" si="109"/>
        <v>0</v>
      </c>
      <c r="AF314" s="273">
        <f t="shared" si="110"/>
        <v>0</v>
      </c>
      <c r="AG314" s="273">
        <f t="shared" si="111"/>
        <v>0</v>
      </c>
      <c r="AH314" s="273">
        <f t="shared" si="112"/>
        <v>0</v>
      </c>
      <c r="AI314" s="273">
        <f t="shared" si="113"/>
        <v>0</v>
      </c>
      <c r="AJ314" s="273">
        <f t="shared" si="114"/>
        <v>0</v>
      </c>
      <c r="AK314" s="273">
        <f t="shared" si="115"/>
        <v>0</v>
      </c>
      <c r="AL314" s="274">
        <f t="shared" si="116"/>
        <v>0</v>
      </c>
      <c r="AN314" s="75" t="str">
        <f t="shared" si="117"/>
        <v>-</v>
      </c>
      <c r="AO314" s="75" t="str">
        <f t="shared" si="118"/>
        <v>-</v>
      </c>
      <c r="AP314" s="48">
        <f t="shared" si="121"/>
        <v>0</v>
      </c>
      <c r="AQ314" s="48">
        <f t="shared" si="119"/>
        <v>0</v>
      </c>
      <c r="AR314" s="49" t="e">
        <f t="shared" si="120"/>
        <v>#N/A</v>
      </c>
    </row>
    <row r="315" spans="1:44" ht="15">
      <c r="A315" s="38"/>
      <c r="B315" s="38"/>
      <c r="C315" s="38"/>
      <c r="D315" s="38"/>
      <c r="E315" s="38"/>
      <c r="F315" s="38"/>
      <c r="G315" s="47">
        <f t="shared" si="102"/>
        <v>6.5978850116714893E-2</v>
      </c>
      <c r="H315" s="44"/>
      <c r="I315" s="44"/>
      <c r="J315" s="45">
        <f t="shared" si="122"/>
        <v>0</v>
      </c>
      <c r="K315" s="38"/>
      <c r="L315" s="38"/>
      <c r="M315" s="38"/>
      <c r="N315" s="34" t="e">
        <f>VLOOKUP(F315,'GHG Emissions Factors'!$B$2:$C$4000,2,FALSE)</f>
        <v>#N/A</v>
      </c>
      <c r="O315" s="45" t="e">
        <f t="shared" si="103"/>
        <v>#N/A</v>
      </c>
      <c r="P315" s="34">
        <f>IF(L315="yes", 0, _xlfn.XLOOKUP(F315, 'GHG Emissions Factors'!$B$2:$B$4000, 'GHG Emissions Factors'!$D$2:$D$4000, 0))</f>
        <v>0</v>
      </c>
      <c r="Q315" s="46"/>
      <c r="R315" s="46"/>
      <c r="S315" s="46">
        <f>ProcurementAllocationData[[#This Row],[Net MWhs Procured]]-(ProcurementAllocationData[[#This Row],[Deep Green]]+ProcurementAllocationData[[#This Row],[LocalSol]]+ProcurementAllocationData[[#This Row],[GreenAccess]])</f>
        <v>0</v>
      </c>
      <c r="T315" s="46"/>
      <c r="U315" s="46"/>
      <c r="V315" s="46"/>
      <c r="W315" s="46"/>
      <c r="X315" s="46"/>
      <c r="Y315" s="112">
        <f t="shared" si="104"/>
        <v>0</v>
      </c>
      <c r="Z315" s="150">
        <f t="shared" si="105"/>
        <v>0</v>
      </c>
      <c r="AA315" s="150">
        <f t="shared" si="106"/>
        <v>0</v>
      </c>
      <c r="AB315" s="113">
        <f t="shared" si="107"/>
        <v>0</v>
      </c>
      <c r="AC315" s="36"/>
      <c r="AD315" s="272" t="str">
        <f t="shared" si="108"/>
        <v/>
      </c>
      <c r="AE315" s="273">
        <f t="shared" si="109"/>
        <v>0</v>
      </c>
      <c r="AF315" s="273">
        <f t="shared" si="110"/>
        <v>0</v>
      </c>
      <c r="AG315" s="273">
        <f t="shared" si="111"/>
        <v>0</v>
      </c>
      <c r="AH315" s="273">
        <f t="shared" si="112"/>
        <v>0</v>
      </c>
      <c r="AI315" s="273">
        <f t="shared" si="113"/>
        <v>0</v>
      </c>
      <c r="AJ315" s="273">
        <f t="shared" si="114"/>
        <v>0</v>
      </c>
      <c r="AK315" s="273">
        <f t="shared" si="115"/>
        <v>0</v>
      </c>
      <c r="AL315" s="274">
        <f t="shared" si="116"/>
        <v>0</v>
      </c>
      <c r="AN315" s="75" t="str">
        <f t="shared" si="117"/>
        <v>-</v>
      </c>
      <c r="AO315" s="75" t="str">
        <f t="shared" si="118"/>
        <v>-</v>
      </c>
      <c r="AP315" s="48">
        <f t="shared" si="121"/>
        <v>0</v>
      </c>
      <c r="AQ315" s="48">
        <f t="shared" si="119"/>
        <v>0</v>
      </c>
      <c r="AR315" s="49" t="e">
        <f t="shared" si="120"/>
        <v>#N/A</v>
      </c>
    </row>
    <row r="316" spans="1:44" ht="15">
      <c r="A316" s="38"/>
      <c r="B316" s="38"/>
      <c r="C316" s="38"/>
      <c r="D316" s="38"/>
      <c r="E316" s="38"/>
      <c r="F316" s="38"/>
      <c r="G316" s="47">
        <f t="shared" si="102"/>
        <v>6.5978850116714893E-2</v>
      </c>
      <c r="H316" s="44"/>
      <c r="I316" s="44"/>
      <c r="J316" s="45">
        <f t="shared" si="122"/>
        <v>0</v>
      </c>
      <c r="K316" s="38"/>
      <c r="L316" s="38"/>
      <c r="M316" s="38"/>
      <c r="N316" s="34" t="e">
        <f>VLOOKUP(F316,'GHG Emissions Factors'!$B$2:$C$4000,2,FALSE)</f>
        <v>#N/A</v>
      </c>
      <c r="O316" s="45" t="e">
        <f t="shared" si="103"/>
        <v>#N/A</v>
      </c>
      <c r="P316" s="34">
        <f>IF(L316="yes", 0, _xlfn.XLOOKUP(F316, 'GHG Emissions Factors'!$B$2:$B$4000, 'GHG Emissions Factors'!$D$2:$D$4000, 0))</f>
        <v>0</v>
      </c>
      <c r="Q316" s="46"/>
      <c r="R316" s="46"/>
      <c r="S316" s="46">
        <f>ProcurementAllocationData[[#This Row],[Net MWhs Procured]]-(ProcurementAllocationData[[#This Row],[Deep Green]]+ProcurementAllocationData[[#This Row],[LocalSol]]+ProcurementAllocationData[[#This Row],[GreenAccess]])</f>
        <v>0</v>
      </c>
      <c r="T316" s="46"/>
      <c r="U316" s="46"/>
      <c r="V316" s="46"/>
      <c r="W316" s="46"/>
      <c r="X316" s="46"/>
      <c r="Y316" s="112">
        <f t="shared" si="104"/>
        <v>0</v>
      </c>
      <c r="Z316" s="150">
        <f t="shared" si="105"/>
        <v>0</v>
      </c>
      <c r="AA316" s="150">
        <f t="shared" si="106"/>
        <v>0</v>
      </c>
      <c r="AB316" s="113">
        <f t="shared" si="107"/>
        <v>0</v>
      </c>
      <c r="AC316" s="36"/>
      <c r="AD316" s="272" t="str">
        <f t="shared" si="108"/>
        <v/>
      </c>
      <c r="AE316" s="273">
        <f t="shared" si="109"/>
        <v>0</v>
      </c>
      <c r="AF316" s="273">
        <f t="shared" si="110"/>
        <v>0</v>
      </c>
      <c r="AG316" s="273">
        <f t="shared" si="111"/>
        <v>0</v>
      </c>
      <c r="AH316" s="273">
        <f t="shared" si="112"/>
        <v>0</v>
      </c>
      <c r="AI316" s="273">
        <f t="shared" si="113"/>
        <v>0</v>
      </c>
      <c r="AJ316" s="273">
        <f t="shared" si="114"/>
        <v>0</v>
      </c>
      <c r="AK316" s="273">
        <f t="shared" si="115"/>
        <v>0</v>
      </c>
      <c r="AL316" s="274">
        <f t="shared" si="116"/>
        <v>0</v>
      </c>
      <c r="AN316" s="75" t="str">
        <f t="shared" si="117"/>
        <v>-</v>
      </c>
      <c r="AO316" s="75" t="str">
        <f t="shared" si="118"/>
        <v>-</v>
      </c>
      <c r="AP316" s="48">
        <f t="shared" si="121"/>
        <v>0</v>
      </c>
      <c r="AQ316" s="48">
        <f t="shared" si="119"/>
        <v>0</v>
      </c>
      <c r="AR316" s="49" t="e">
        <f t="shared" si="120"/>
        <v>#N/A</v>
      </c>
    </row>
    <row r="317" spans="1:44" ht="15">
      <c r="A317" s="38"/>
      <c r="B317" s="38"/>
      <c r="C317" s="38"/>
      <c r="D317" s="38"/>
      <c r="E317" s="38"/>
      <c r="F317" s="38"/>
      <c r="G317" s="47">
        <f t="shared" si="102"/>
        <v>6.5978850116714893E-2</v>
      </c>
      <c r="H317" s="44"/>
      <c r="I317" s="44"/>
      <c r="J317" s="45">
        <f t="shared" si="122"/>
        <v>0</v>
      </c>
      <c r="K317" s="38"/>
      <c r="L317" s="38"/>
      <c r="M317" s="38"/>
      <c r="N317" s="34" t="e">
        <f>VLOOKUP(F317,'GHG Emissions Factors'!$B$2:$C$4000,2,FALSE)</f>
        <v>#N/A</v>
      </c>
      <c r="O317" s="45" t="e">
        <f t="shared" si="103"/>
        <v>#N/A</v>
      </c>
      <c r="P317" s="34">
        <f>IF(L317="yes", 0, _xlfn.XLOOKUP(F317, 'GHG Emissions Factors'!$B$2:$B$4000, 'GHG Emissions Factors'!$D$2:$D$4000, 0))</f>
        <v>0</v>
      </c>
      <c r="Q317" s="46"/>
      <c r="R317" s="46"/>
      <c r="S317" s="46">
        <f>ProcurementAllocationData[[#This Row],[Net MWhs Procured]]-(ProcurementAllocationData[[#This Row],[Deep Green]]+ProcurementAllocationData[[#This Row],[LocalSol]]+ProcurementAllocationData[[#This Row],[GreenAccess]])</f>
        <v>0</v>
      </c>
      <c r="T317" s="46"/>
      <c r="U317" s="46"/>
      <c r="V317" s="46"/>
      <c r="W317" s="46"/>
      <c r="X317" s="46"/>
      <c r="Y317" s="112">
        <f t="shared" si="104"/>
        <v>0</v>
      </c>
      <c r="Z317" s="150">
        <f t="shared" si="105"/>
        <v>0</v>
      </c>
      <c r="AA317" s="150">
        <f t="shared" si="106"/>
        <v>0</v>
      </c>
      <c r="AB317" s="113">
        <f t="shared" si="107"/>
        <v>0</v>
      </c>
      <c r="AC317" s="36"/>
      <c r="AD317" s="272" t="str">
        <f t="shared" si="108"/>
        <v/>
      </c>
      <c r="AE317" s="273">
        <f t="shared" si="109"/>
        <v>0</v>
      </c>
      <c r="AF317" s="273">
        <f t="shared" si="110"/>
        <v>0</v>
      </c>
      <c r="AG317" s="273">
        <f t="shared" si="111"/>
        <v>0</v>
      </c>
      <c r="AH317" s="273">
        <f t="shared" si="112"/>
        <v>0</v>
      </c>
      <c r="AI317" s="273">
        <f t="shared" si="113"/>
        <v>0</v>
      </c>
      <c r="AJ317" s="273">
        <f t="shared" si="114"/>
        <v>0</v>
      </c>
      <c r="AK317" s="273">
        <f t="shared" si="115"/>
        <v>0</v>
      </c>
      <c r="AL317" s="274">
        <f t="shared" si="116"/>
        <v>0</v>
      </c>
      <c r="AN317" s="75" t="str">
        <f t="shared" si="117"/>
        <v>-</v>
      </c>
      <c r="AO317" s="75" t="str">
        <f t="shared" si="118"/>
        <v>-</v>
      </c>
      <c r="AP317" s="48">
        <f t="shared" si="121"/>
        <v>0</v>
      </c>
      <c r="AQ317" s="48">
        <f t="shared" si="119"/>
        <v>0</v>
      </c>
      <c r="AR317" s="49" t="e">
        <f t="shared" si="120"/>
        <v>#N/A</v>
      </c>
    </row>
    <row r="318" spans="1:44" ht="15">
      <c r="A318" s="38"/>
      <c r="B318" s="38"/>
      <c r="C318" s="38"/>
      <c r="D318" s="38"/>
      <c r="E318" s="38"/>
      <c r="F318" s="38"/>
      <c r="G318" s="47">
        <f t="shared" si="102"/>
        <v>6.5978850116714893E-2</v>
      </c>
      <c r="H318" s="44"/>
      <c r="I318" s="44"/>
      <c r="J318" s="45">
        <f t="shared" si="122"/>
        <v>0</v>
      </c>
      <c r="K318" s="38"/>
      <c r="L318" s="38"/>
      <c r="M318" s="38"/>
      <c r="N318" s="34" t="e">
        <f>VLOOKUP(F318,'GHG Emissions Factors'!$B$2:$C$4000,2,FALSE)</f>
        <v>#N/A</v>
      </c>
      <c r="O318" s="45" t="e">
        <f t="shared" si="103"/>
        <v>#N/A</v>
      </c>
      <c r="P318" s="34">
        <f>IF(L318="yes", 0, _xlfn.XLOOKUP(F318, 'GHG Emissions Factors'!$B$2:$B$4000, 'GHG Emissions Factors'!$D$2:$D$4000, 0))</f>
        <v>0</v>
      </c>
      <c r="Q318" s="46"/>
      <c r="R318" s="46"/>
      <c r="S318" s="46">
        <f>ProcurementAllocationData[[#This Row],[Net MWhs Procured]]-(ProcurementAllocationData[[#This Row],[Deep Green]]+ProcurementAllocationData[[#This Row],[LocalSol]]+ProcurementAllocationData[[#This Row],[GreenAccess]])</f>
        <v>0</v>
      </c>
      <c r="T318" s="46"/>
      <c r="U318" s="46"/>
      <c r="V318" s="46"/>
      <c r="W318" s="46"/>
      <c r="X318" s="46"/>
      <c r="Y318" s="112">
        <f t="shared" si="104"/>
        <v>0</v>
      </c>
      <c r="Z318" s="150">
        <f t="shared" si="105"/>
        <v>0</v>
      </c>
      <c r="AA318" s="150">
        <f t="shared" si="106"/>
        <v>0</v>
      </c>
      <c r="AB318" s="113">
        <f t="shared" si="107"/>
        <v>0</v>
      </c>
      <c r="AC318" s="36"/>
      <c r="AD318" s="272" t="str">
        <f t="shared" si="108"/>
        <v/>
      </c>
      <c r="AE318" s="273">
        <f t="shared" si="109"/>
        <v>0</v>
      </c>
      <c r="AF318" s="273">
        <f t="shared" si="110"/>
        <v>0</v>
      </c>
      <c r="AG318" s="273">
        <f t="shared" si="111"/>
        <v>0</v>
      </c>
      <c r="AH318" s="273">
        <f t="shared" si="112"/>
        <v>0</v>
      </c>
      <c r="AI318" s="273">
        <f t="shared" si="113"/>
        <v>0</v>
      </c>
      <c r="AJ318" s="273">
        <f t="shared" si="114"/>
        <v>0</v>
      </c>
      <c r="AK318" s="273">
        <f t="shared" si="115"/>
        <v>0</v>
      </c>
      <c r="AL318" s="274">
        <f t="shared" si="116"/>
        <v>0</v>
      </c>
      <c r="AN318" s="75" t="str">
        <f t="shared" si="117"/>
        <v>-</v>
      </c>
      <c r="AO318" s="75" t="str">
        <f t="shared" si="118"/>
        <v>-</v>
      </c>
      <c r="AP318" s="48">
        <f t="shared" si="121"/>
        <v>0</v>
      </c>
      <c r="AQ318" s="48">
        <f t="shared" si="119"/>
        <v>0</v>
      </c>
      <c r="AR318" s="49" t="e">
        <f t="shared" si="120"/>
        <v>#N/A</v>
      </c>
    </row>
    <row r="319" spans="1:44" ht="15">
      <c r="A319" s="38"/>
      <c r="B319" s="38"/>
      <c r="C319" s="38"/>
      <c r="D319" s="38"/>
      <c r="E319" s="38"/>
      <c r="F319" s="38"/>
      <c r="G319" s="47">
        <f t="shared" si="102"/>
        <v>6.5978850116714893E-2</v>
      </c>
      <c r="H319" s="44"/>
      <c r="I319" s="44"/>
      <c r="J319" s="45">
        <f t="shared" si="122"/>
        <v>0</v>
      </c>
      <c r="K319" s="38"/>
      <c r="L319" s="38"/>
      <c r="M319" s="38"/>
      <c r="N319" s="34" t="e">
        <f>VLOOKUP(F319,'GHG Emissions Factors'!$B$2:$C$4000,2,FALSE)</f>
        <v>#N/A</v>
      </c>
      <c r="O319" s="45" t="e">
        <f t="shared" si="103"/>
        <v>#N/A</v>
      </c>
      <c r="P319" s="34">
        <f>IF(L319="yes", 0, _xlfn.XLOOKUP(F319, 'GHG Emissions Factors'!$B$2:$B$4000, 'GHG Emissions Factors'!$D$2:$D$4000, 0))</f>
        <v>0</v>
      </c>
      <c r="Q319" s="46"/>
      <c r="R319" s="46"/>
      <c r="S319" s="46">
        <f>ProcurementAllocationData[[#This Row],[Net MWhs Procured]]-(ProcurementAllocationData[[#This Row],[Deep Green]]+ProcurementAllocationData[[#This Row],[LocalSol]]+ProcurementAllocationData[[#This Row],[GreenAccess]])</f>
        <v>0</v>
      </c>
      <c r="T319" s="46"/>
      <c r="U319" s="46"/>
      <c r="V319" s="46"/>
      <c r="W319" s="46"/>
      <c r="X319" s="46"/>
      <c r="Y319" s="112">
        <f t="shared" si="104"/>
        <v>0</v>
      </c>
      <c r="Z319" s="150">
        <f t="shared" si="105"/>
        <v>0</v>
      </c>
      <c r="AA319" s="150">
        <f t="shared" si="106"/>
        <v>0</v>
      </c>
      <c r="AB319" s="113">
        <f t="shared" si="107"/>
        <v>0</v>
      </c>
      <c r="AC319" s="36"/>
      <c r="AD319" s="272" t="str">
        <f t="shared" si="108"/>
        <v/>
      </c>
      <c r="AE319" s="273">
        <f t="shared" si="109"/>
        <v>0</v>
      </c>
      <c r="AF319" s="273">
        <f t="shared" si="110"/>
        <v>0</v>
      </c>
      <c r="AG319" s="273">
        <f t="shared" si="111"/>
        <v>0</v>
      </c>
      <c r="AH319" s="273">
        <f t="shared" si="112"/>
        <v>0</v>
      </c>
      <c r="AI319" s="273">
        <f t="shared" si="113"/>
        <v>0</v>
      </c>
      <c r="AJ319" s="273">
        <f t="shared" si="114"/>
        <v>0</v>
      </c>
      <c r="AK319" s="273">
        <f t="shared" si="115"/>
        <v>0</v>
      </c>
      <c r="AL319" s="274">
        <f t="shared" si="116"/>
        <v>0</v>
      </c>
      <c r="AN319" s="75" t="str">
        <f t="shared" si="117"/>
        <v>-</v>
      </c>
      <c r="AO319" s="75" t="str">
        <f t="shared" si="118"/>
        <v>-</v>
      </c>
      <c r="AP319" s="48">
        <f t="shared" si="121"/>
        <v>0</v>
      </c>
      <c r="AQ319" s="48">
        <f t="shared" si="119"/>
        <v>0</v>
      </c>
      <c r="AR319" s="49" t="e">
        <f t="shared" si="120"/>
        <v>#N/A</v>
      </c>
    </row>
    <row r="320" spans="1:44" ht="15">
      <c r="A320" s="38"/>
      <c r="B320" s="38"/>
      <c r="C320" s="38"/>
      <c r="D320" s="38"/>
      <c r="E320" s="38"/>
      <c r="F320" s="38"/>
      <c r="G320" s="47">
        <f t="shared" si="102"/>
        <v>6.5978850116714893E-2</v>
      </c>
      <c r="H320" s="44"/>
      <c r="I320" s="44"/>
      <c r="J320" s="45">
        <f t="shared" si="122"/>
        <v>0</v>
      </c>
      <c r="K320" s="38"/>
      <c r="L320" s="38"/>
      <c r="M320" s="38"/>
      <c r="N320" s="34" t="e">
        <f>VLOOKUP(F320,'GHG Emissions Factors'!$B$2:$C$4000,2,FALSE)</f>
        <v>#N/A</v>
      </c>
      <c r="O320" s="45" t="e">
        <f t="shared" si="103"/>
        <v>#N/A</v>
      </c>
      <c r="P320" s="34">
        <f>IF(L320="yes", 0, _xlfn.XLOOKUP(F320, 'GHG Emissions Factors'!$B$2:$B$4000, 'GHG Emissions Factors'!$D$2:$D$4000, 0))</f>
        <v>0</v>
      </c>
      <c r="Q320" s="46"/>
      <c r="R320" s="46"/>
      <c r="S320" s="46">
        <f>ProcurementAllocationData[[#This Row],[Net MWhs Procured]]-(ProcurementAllocationData[[#This Row],[Deep Green]]+ProcurementAllocationData[[#This Row],[LocalSol]]+ProcurementAllocationData[[#This Row],[GreenAccess]])</f>
        <v>0</v>
      </c>
      <c r="T320" s="46"/>
      <c r="U320" s="46"/>
      <c r="V320" s="46"/>
      <c r="W320" s="46"/>
      <c r="X320" s="46"/>
      <c r="Y320" s="112">
        <f t="shared" si="104"/>
        <v>0</v>
      </c>
      <c r="Z320" s="150">
        <f t="shared" si="105"/>
        <v>0</v>
      </c>
      <c r="AA320" s="150">
        <f t="shared" si="106"/>
        <v>0</v>
      </c>
      <c r="AB320" s="113">
        <f t="shared" si="107"/>
        <v>0</v>
      </c>
      <c r="AC320" s="36"/>
      <c r="AD320" s="272" t="str">
        <f t="shared" si="108"/>
        <v/>
      </c>
      <c r="AE320" s="273">
        <f t="shared" si="109"/>
        <v>0</v>
      </c>
      <c r="AF320" s="273">
        <f t="shared" si="110"/>
        <v>0</v>
      </c>
      <c r="AG320" s="273">
        <f t="shared" si="111"/>
        <v>0</v>
      </c>
      <c r="AH320" s="273">
        <f t="shared" si="112"/>
        <v>0</v>
      </c>
      <c r="AI320" s="273">
        <f t="shared" si="113"/>
        <v>0</v>
      </c>
      <c r="AJ320" s="273">
        <f t="shared" si="114"/>
        <v>0</v>
      </c>
      <c r="AK320" s="273">
        <f t="shared" si="115"/>
        <v>0</v>
      </c>
      <c r="AL320" s="274">
        <f t="shared" si="116"/>
        <v>0</v>
      </c>
      <c r="AN320" s="75" t="str">
        <f t="shared" si="117"/>
        <v>-</v>
      </c>
      <c r="AO320" s="75" t="str">
        <f t="shared" si="118"/>
        <v>-</v>
      </c>
      <c r="AP320" s="48">
        <f t="shared" si="121"/>
        <v>0</v>
      </c>
      <c r="AQ320" s="48">
        <f t="shared" si="119"/>
        <v>0</v>
      </c>
      <c r="AR320" s="49" t="e">
        <f t="shared" si="120"/>
        <v>#N/A</v>
      </c>
    </row>
    <row r="321" spans="1:44" ht="15">
      <c r="A321" s="38"/>
      <c r="B321" s="38"/>
      <c r="C321" s="38"/>
      <c r="D321" s="38"/>
      <c r="E321" s="38"/>
      <c r="F321" s="38"/>
      <c r="G321" s="47">
        <f t="shared" si="102"/>
        <v>6.5978850116714893E-2</v>
      </c>
      <c r="H321" s="44"/>
      <c r="I321" s="44"/>
      <c r="J321" s="45">
        <f t="shared" si="122"/>
        <v>0</v>
      </c>
      <c r="K321" s="38"/>
      <c r="L321" s="38"/>
      <c r="M321" s="38"/>
      <c r="N321" s="34" t="e">
        <f>VLOOKUP(F321,'GHG Emissions Factors'!$B$2:$C$4000,2,FALSE)</f>
        <v>#N/A</v>
      </c>
      <c r="O321" s="45" t="e">
        <f t="shared" si="103"/>
        <v>#N/A</v>
      </c>
      <c r="P321" s="34">
        <f>IF(L321="yes", 0, _xlfn.XLOOKUP(F321, 'GHG Emissions Factors'!$B$2:$B$4000, 'GHG Emissions Factors'!$D$2:$D$4000, 0))</f>
        <v>0</v>
      </c>
      <c r="Q321" s="46"/>
      <c r="R321" s="46"/>
      <c r="S321" s="46">
        <f>ProcurementAllocationData[[#This Row],[Net MWhs Procured]]-(ProcurementAllocationData[[#This Row],[Deep Green]]+ProcurementAllocationData[[#This Row],[LocalSol]]+ProcurementAllocationData[[#This Row],[GreenAccess]])</f>
        <v>0</v>
      </c>
      <c r="T321" s="46"/>
      <c r="U321" s="46"/>
      <c r="V321" s="46"/>
      <c r="W321" s="46"/>
      <c r="X321" s="46"/>
      <c r="Y321" s="112">
        <f t="shared" si="104"/>
        <v>0</v>
      </c>
      <c r="Z321" s="150">
        <f t="shared" si="105"/>
        <v>0</v>
      </c>
      <c r="AA321" s="150">
        <f t="shared" si="106"/>
        <v>0</v>
      </c>
      <c r="AB321" s="113">
        <f t="shared" si="107"/>
        <v>0</v>
      </c>
      <c r="AC321" s="36"/>
      <c r="AD321" s="272" t="str">
        <f t="shared" si="108"/>
        <v/>
      </c>
      <c r="AE321" s="273">
        <f t="shared" si="109"/>
        <v>0</v>
      </c>
      <c r="AF321" s="273">
        <f t="shared" si="110"/>
        <v>0</v>
      </c>
      <c r="AG321" s="273">
        <f t="shared" si="111"/>
        <v>0</v>
      </c>
      <c r="AH321" s="273">
        <f t="shared" si="112"/>
        <v>0</v>
      </c>
      <c r="AI321" s="273">
        <f t="shared" si="113"/>
        <v>0</v>
      </c>
      <c r="AJ321" s="273">
        <f t="shared" si="114"/>
        <v>0</v>
      </c>
      <c r="AK321" s="273">
        <f t="shared" si="115"/>
        <v>0</v>
      </c>
      <c r="AL321" s="274">
        <f t="shared" si="116"/>
        <v>0</v>
      </c>
      <c r="AN321" s="75" t="str">
        <f t="shared" si="117"/>
        <v>-</v>
      </c>
      <c r="AO321" s="75" t="str">
        <f t="shared" si="118"/>
        <v>-</v>
      </c>
      <c r="AP321" s="48">
        <f t="shared" si="121"/>
        <v>0</v>
      </c>
      <c r="AQ321" s="48">
        <f t="shared" si="119"/>
        <v>0</v>
      </c>
      <c r="AR321" s="49" t="e">
        <f t="shared" si="120"/>
        <v>#N/A</v>
      </c>
    </row>
    <row r="322" spans="1:44" ht="15">
      <c r="A322" s="38"/>
      <c r="B322" s="38"/>
      <c r="C322" s="38"/>
      <c r="D322" s="38"/>
      <c r="E322" s="38"/>
      <c r="F322" s="38"/>
      <c r="G322" s="47">
        <f t="shared" si="102"/>
        <v>6.5978850116714893E-2</v>
      </c>
      <c r="H322" s="44"/>
      <c r="I322" s="44"/>
      <c r="J322" s="45">
        <f t="shared" si="122"/>
        <v>0</v>
      </c>
      <c r="K322" s="38"/>
      <c r="L322" s="38"/>
      <c r="M322" s="38"/>
      <c r="N322" s="34" t="e">
        <f>VLOOKUP(F322,'GHG Emissions Factors'!$B$2:$C$4000,2,FALSE)</f>
        <v>#N/A</v>
      </c>
      <c r="O322" s="45" t="e">
        <f t="shared" si="103"/>
        <v>#N/A</v>
      </c>
      <c r="P322" s="34">
        <f>IF(L322="yes", 0, _xlfn.XLOOKUP(F322, 'GHG Emissions Factors'!$B$2:$B$4000, 'GHG Emissions Factors'!$D$2:$D$4000, 0))</f>
        <v>0</v>
      </c>
      <c r="Q322" s="46"/>
      <c r="R322" s="46"/>
      <c r="S322" s="46">
        <f>ProcurementAllocationData[[#This Row],[Net MWhs Procured]]-(ProcurementAllocationData[[#This Row],[Deep Green]]+ProcurementAllocationData[[#This Row],[LocalSol]]+ProcurementAllocationData[[#This Row],[GreenAccess]])</f>
        <v>0</v>
      </c>
      <c r="T322" s="46"/>
      <c r="U322" s="46"/>
      <c r="V322" s="46"/>
      <c r="W322" s="46"/>
      <c r="X322" s="46"/>
      <c r="Y322" s="112">
        <f t="shared" si="104"/>
        <v>0</v>
      </c>
      <c r="Z322" s="150">
        <f t="shared" si="105"/>
        <v>0</v>
      </c>
      <c r="AA322" s="150">
        <f t="shared" si="106"/>
        <v>0</v>
      </c>
      <c r="AB322" s="113">
        <f t="shared" si="107"/>
        <v>0</v>
      </c>
      <c r="AC322" s="36"/>
      <c r="AD322" s="272" t="str">
        <f t="shared" si="108"/>
        <v/>
      </c>
      <c r="AE322" s="273">
        <f t="shared" si="109"/>
        <v>0</v>
      </c>
      <c r="AF322" s="273">
        <f t="shared" si="110"/>
        <v>0</v>
      </c>
      <c r="AG322" s="273">
        <f t="shared" si="111"/>
        <v>0</v>
      </c>
      <c r="AH322" s="273">
        <f t="shared" si="112"/>
        <v>0</v>
      </c>
      <c r="AI322" s="273">
        <f t="shared" si="113"/>
        <v>0</v>
      </c>
      <c r="AJ322" s="273">
        <f t="shared" si="114"/>
        <v>0</v>
      </c>
      <c r="AK322" s="273">
        <f t="shared" si="115"/>
        <v>0</v>
      </c>
      <c r="AL322" s="274">
        <f t="shared" si="116"/>
        <v>0</v>
      </c>
      <c r="AN322" s="75" t="str">
        <f t="shared" si="117"/>
        <v>-</v>
      </c>
      <c r="AO322" s="75" t="str">
        <f t="shared" si="118"/>
        <v>-</v>
      </c>
      <c r="AP322" s="48">
        <f t="shared" si="121"/>
        <v>0</v>
      </c>
      <c r="AQ322" s="48">
        <f t="shared" si="119"/>
        <v>0</v>
      </c>
      <c r="AR322" s="49" t="e">
        <f t="shared" si="120"/>
        <v>#N/A</v>
      </c>
    </row>
    <row r="323" spans="1:44" ht="15">
      <c r="A323" s="38"/>
      <c r="B323" s="38"/>
      <c r="C323" s="38"/>
      <c r="D323" s="38"/>
      <c r="E323" s="38"/>
      <c r="F323" s="38"/>
      <c r="G323" s="47">
        <f t="shared" si="102"/>
        <v>6.5978850116714893E-2</v>
      </c>
      <c r="H323" s="44"/>
      <c r="I323" s="44"/>
      <c r="J323" s="45">
        <f t="shared" si="122"/>
        <v>0</v>
      </c>
      <c r="K323" s="38"/>
      <c r="L323" s="38"/>
      <c r="M323" s="38"/>
      <c r="N323" s="34" t="e">
        <f>VLOOKUP(F323,'GHG Emissions Factors'!$B$2:$C$4000,2,FALSE)</f>
        <v>#N/A</v>
      </c>
      <c r="O323" s="45" t="e">
        <f t="shared" si="103"/>
        <v>#N/A</v>
      </c>
      <c r="P323" s="34">
        <f>IF(L323="yes", 0, _xlfn.XLOOKUP(F323, 'GHG Emissions Factors'!$B$2:$B$4000, 'GHG Emissions Factors'!$D$2:$D$4000, 0))</f>
        <v>0</v>
      </c>
      <c r="Q323" s="46"/>
      <c r="R323" s="46"/>
      <c r="S323" s="46">
        <f>ProcurementAllocationData[[#This Row],[Net MWhs Procured]]-(ProcurementAllocationData[[#This Row],[Deep Green]]+ProcurementAllocationData[[#This Row],[LocalSol]]+ProcurementAllocationData[[#This Row],[GreenAccess]])</f>
        <v>0</v>
      </c>
      <c r="T323" s="46"/>
      <c r="U323" s="46"/>
      <c r="V323" s="46"/>
      <c r="W323" s="46"/>
      <c r="X323" s="46"/>
      <c r="Y323" s="112">
        <f t="shared" si="104"/>
        <v>0</v>
      </c>
      <c r="Z323" s="150">
        <f t="shared" si="105"/>
        <v>0</v>
      </c>
      <c r="AA323" s="150">
        <f t="shared" si="106"/>
        <v>0</v>
      </c>
      <c r="AB323" s="113">
        <f t="shared" si="107"/>
        <v>0</v>
      </c>
      <c r="AC323" s="36"/>
      <c r="AD323" s="272" t="str">
        <f t="shared" si="108"/>
        <v/>
      </c>
      <c r="AE323" s="273">
        <f t="shared" si="109"/>
        <v>0</v>
      </c>
      <c r="AF323" s="273">
        <f t="shared" si="110"/>
        <v>0</v>
      </c>
      <c r="AG323" s="273">
        <f t="shared" si="111"/>
        <v>0</v>
      </c>
      <c r="AH323" s="273">
        <f t="shared" si="112"/>
        <v>0</v>
      </c>
      <c r="AI323" s="273">
        <f t="shared" si="113"/>
        <v>0</v>
      </c>
      <c r="AJ323" s="273">
        <f t="shared" si="114"/>
        <v>0</v>
      </c>
      <c r="AK323" s="273">
        <f t="shared" si="115"/>
        <v>0</v>
      </c>
      <c r="AL323" s="274">
        <f t="shared" si="116"/>
        <v>0</v>
      </c>
      <c r="AN323" s="75" t="str">
        <f t="shared" si="117"/>
        <v>-</v>
      </c>
      <c r="AO323" s="75" t="str">
        <f t="shared" si="118"/>
        <v>-</v>
      </c>
      <c r="AP323" s="48">
        <f t="shared" si="121"/>
        <v>0</v>
      </c>
      <c r="AQ323" s="48">
        <f t="shared" si="119"/>
        <v>0</v>
      </c>
      <c r="AR323" s="49" t="e">
        <f t="shared" si="120"/>
        <v>#N/A</v>
      </c>
    </row>
    <row r="324" spans="1:44" ht="15">
      <c r="A324" s="38"/>
      <c r="B324" s="38"/>
      <c r="C324" s="38"/>
      <c r="D324" s="38"/>
      <c r="E324" s="38"/>
      <c r="F324" s="38"/>
      <c r="G324" s="47">
        <f t="shared" si="102"/>
        <v>6.5978850116714893E-2</v>
      </c>
      <c r="H324" s="44"/>
      <c r="I324" s="44"/>
      <c r="J324" s="45">
        <f t="shared" si="122"/>
        <v>0</v>
      </c>
      <c r="K324" s="38"/>
      <c r="L324" s="38"/>
      <c r="M324" s="38"/>
      <c r="N324" s="34" t="e">
        <f>VLOOKUP(F324,'GHG Emissions Factors'!$B$2:$C$4000,2,FALSE)</f>
        <v>#N/A</v>
      </c>
      <c r="O324" s="45" t="e">
        <f t="shared" si="103"/>
        <v>#N/A</v>
      </c>
      <c r="P324" s="34">
        <f>IF(L324="yes", 0, _xlfn.XLOOKUP(F324, 'GHG Emissions Factors'!$B$2:$B$4000, 'GHG Emissions Factors'!$D$2:$D$4000, 0))</f>
        <v>0</v>
      </c>
      <c r="Q324" s="46"/>
      <c r="R324" s="46"/>
      <c r="S324" s="46">
        <f>ProcurementAllocationData[[#This Row],[Net MWhs Procured]]-(ProcurementAllocationData[[#This Row],[Deep Green]]+ProcurementAllocationData[[#This Row],[LocalSol]]+ProcurementAllocationData[[#This Row],[GreenAccess]])</f>
        <v>0</v>
      </c>
      <c r="T324" s="46"/>
      <c r="U324" s="46"/>
      <c r="V324" s="46"/>
      <c r="W324" s="46"/>
      <c r="X324" s="46"/>
      <c r="Y324" s="112">
        <f t="shared" si="104"/>
        <v>0</v>
      </c>
      <c r="Z324" s="150">
        <f t="shared" si="105"/>
        <v>0</v>
      </c>
      <c r="AA324" s="150">
        <f t="shared" si="106"/>
        <v>0</v>
      </c>
      <c r="AB324" s="113">
        <f t="shared" si="107"/>
        <v>0</v>
      </c>
      <c r="AC324" s="36"/>
      <c r="AD324" s="272" t="str">
        <f t="shared" si="108"/>
        <v/>
      </c>
      <c r="AE324" s="273">
        <f t="shared" si="109"/>
        <v>0</v>
      </c>
      <c r="AF324" s="273">
        <f t="shared" si="110"/>
        <v>0</v>
      </c>
      <c r="AG324" s="273">
        <f t="shared" si="111"/>
        <v>0</v>
      </c>
      <c r="AH324" s="273">
        <f t="shared" si="112"/>
        <v>0</v>
      </c>
      <c r="AI324" s="273">
        <f t="shared" si="113"/>
        <v>0</v>
      </c>
      <c r="AJ324" s="273">
        <f t="shared" si="114"/>
        <v>0</v>
      </c>
      <c r="AK324" s="273">
        <f t="shared" si="115"/>
        <v>0</v>
      </c>
      <c r="AL324" s="274">
        <f t="shared" si="116"/>
        <v>0</v>
      </c>
      <c r="AN324" s="75" t="str">
        <f t="shared" si="117"/>
        <v>-</v>
      </c>
      <c r="AO324" s="75" t="str">
        <f t="shared" si="118"/>
        <v>-</v>
      </c>
      <c r="AP324" s="48">
        <f t="shared" si="121"/>
        <v>0</v>
      </c>
      <c r="AQ324" s="48">
        <f t="shared" si="119"/>
        <v>0</v>
      </c>
      <c r="AR324" s="49" t="e">
        <f t="shared" si="120"/>
        <v>#N/A</v>
      </c>
    </row>
    <row r="325" spans="1:44" ht="15">
      <c r="A325" s="38"/>
      <c r="B325" s="38"/>
      <c r="C325" s="38"/>
      <c r="D325" s="38"/>
      <c r="E325" s="38"/>
      <c r="F325" s="38"/>
      <c r="G325" s="47">
        <f t="shared" si="102"/>
        <v>6.5978850116714893E-2</v>
      </c>
      <c r="H325" s="44"/>
      <c r="I325" s="44"/>
      <c r="J325" s="45">
        <f t="shared" si="122"/>
        <v>0</v>
      </c>
      <c r="K325" s="38"/>
      <c r="L325" s="38"/>
      <c r="M325" s="38"/>
      <c r="N325" s="34" t="e">
        <f>VLOOKUP(F325,'GHG Emissions Factors'!$B$2:$C$4000,2,FALSE)</f>
        <v>#N/A</v>
      </c>
      <c r="O325" s="45" t="e">
        <f t="shared" si="103"/>
        <v>#N/A</v>
      </c>
      <c r="P325" s="34">
        <f>IF(L325="yes", 0, _xlfn.XLOOKUP(F325, 'GHG Emissions Factors'!$B$2:$B$4000, 'GHG Emissions Factors'!$D$2:$D$4000, 0))</f>
        <v>0</v>
      </c>
      <c r="Q325" s="46"/>
      <c r="R325" s="46"/>
      <c r="S325" s="46">
        <f>ProcurementAllocationData[[#This Row],[Net MWhs Procured]]-(ProcurementAllocationData[[#This Row],[Deep Green]]+ProcurementAllocationData[[#This Row],[LocalSol]]+ProcurementAllocationData[[#This Row],[GreenAccess]])</f>
        <v>0</v>
      </c>
      <c r="T325" s="46"/>
      <c r="U325" s="46"/>
      <c r="V325" s="46"/>
      <c r="W325" s="46"/>
      <c r="X325" s="46"/>
      <c r="Y325" s="112">
        <f t="shared" si="104"/>
        <v>0</v>
      </c>
      <c r="Z325" s="150">
        <f t="shared" si="105"/>
        <v>0</v>
      </c>
      <c r="AA325" s="150">
        <f t="shared" si="106"/>
        <v>0</v>
      </c>
      <c r="AB325" s="113">
        <f t="shared" si="107"/>
        <v>0</v>
      </c>
      <c r="AC325" s="36"/>
      <c r="AD325" s="272" t="str">
        <f t="shared" si="108"/>
        <v/>
      </c>
      <c r="AE325" s="273">
        <f t="shared" si="109"/>
        <v>0</v>
      </c>
      <c r="AF325" s="273">
        <f t="shared" si="110"/>
        <v>0</v>
      </c>
      <c r="AG325" s="273">
        <f t="shared" si="111"/>
        <v>0</v>
      </c>
      <c r="AH325" s="273">
        <f t="shared" si="112"/>
        <v>0</v>
      </c>
      <c r="AI325" s="273">
        <f t="shared" si="113"/>
        <v>0</v>
      </c>
      <c r="AJ325" s="273">
        <f t="shared" si="114"/>
        <v>0</v>
      </c>
      <c r="AK325" s="273">
        <f t="shared" si="115"/>
        <v>0</v>
      </c>
      <c r="AL325" s="274">
        <f t="shared" si="116"/>
        <v>0</v>
      </c>
      <c r="AN325" s="75" t="str">
        <f t="shared" si="117"/>
        <v>-</v>
      </c>
      <c r="AO325" s="75" t="str">
        <f t="shared" si="118"/>
        <v>-</v>
      </c>
      <c r="AP325" s="48">
        <f t="shared" si="121"/>
        <v>0</v>
      </c>
      <c r="AQ325" s="48">
        <f t="shared" si="119"/>
        <v>0</v>
      </c>
      <c r="AR325" s="49" t="e">
        <f t="shared" si="120"/>
        <v>#N/A</v>
      </c>
    </row>
    <row r="326" spans="1:44" ht="15">
      <c r="A326" s="38"/>
      <c r="B326" s="38"/>
      <c r="C326" s="38"/>
      <c r="D326" s="38"/>
      <c r="E326" s="38"/>
      <c r="F326" s="38"/>
      <c r="G326" s="47">
        <f t="shared" si="102"/>
        <v>6.5978850116714893E-2</v>
      </c>
      <c r="H326" s="44"/>
      <c r="I326" s="44"/>
      <c r="J326" s="45">
        <f t="shared" si="122"/>
        <v>0</v>
      </c>
      <c r="K326" s="38"/>
      <c r="L326" s="38"/>
      <c r="M326" s="38"/>
      <c r="N326" s="34" t="e">
        <f>VLOOKUP(F326,'GHG Emissions Factors'!$B$2:$C$4000,2,FALSE)</f>
        <v>#N/A</v>
      </c>
      <c r="O326" s="45" t="e">
        <f t="shared" si="103"/>
        <v>#N/A</v>
      </c>
      <c r="P326" s="34">
        <f>IF(L326="yes", 0, _xlfn.XLOOKUP(F326, 'GHG Emissions Factors'!$B$2:$B$4000, 'GHG Emissions Factors'!$D$2:$D$4000, 0))</f>
        <v>0</v>
      </c>
      <c r="Q326" s="46"/>
      <c r="R326" s="46"/>
      <c r="S326" s="46">
        <f>ProcurementAllocationData[[#This Row],[Net MWhs Procured]]-(ProcurementAllocationData[[#This Row],[Deep Green]]+ProcurementAllocationData[[#This Row],[LocalSol]]+ProcurementAllocationData[[#This Row],[GreenAccess]])</f>
        <v>0</v>
      </c>
      <c r="T326" s="46"/>
      <c r="U326" s="46"/>
      <c r="V326" s="46"/>
      <c r="W326" s="46"/>
      <c r="X326" s="46"/>
      <c r="Y326" s="112">
        <f t="shared" si="104"/>
        <v>0</v>
      </c>
      <c r="Z326" s="150">
        <f t="shared" si="105"/>
        <v>0</v>
      </c>
      <c r="AA326" s="150">
        <f t="shared" si="106"/>
        <v>0</v>
      </c>
      <c r="AB326" s="113">
        <f t="shared" si="107"/>
        <v>0</v>
      </c>
      <c r="AC326" s="36"/>
      <c r="AD326" s="272" t="str">
        <f t="shared" si="108"/>
        <v/>
      </c>
      <c r="AE326" s="273">
        <f t="shared" si="109"/>
        <v>0</v>
      </c>
      <c r="AF326" s="273">
        <f t="shared" si="110"/>
        <v>0</v>
      </c>
      <c r="AG326" s="273">
        <f t="shared" si="111"/>
        <v>0</v>
      </c>
      <c r="AH326" s="273">
        <f t="shared" si="112"/>
        <v>0</v>
      </c>
      <c r="AI326" s="273">
        <f t="shared" si="113"/>
        <v>0</v>
      </c>
      <c r="AJ326" s="273">
        <f t="shared" si="114"/>
        <v>0</v>
      </c>
      <c r="AK326" s="273">
        <f t="shared" si="115"/>
        <v>0</v>
      </c>
      <c r="AL326" s="274">
        <f t="shared" si="116"/>
        <v>0</v>
      </c>
      <c r="AN326" s="75" t="str">
        <f t="shared" si="117"/>
        <v>-</v>
      </c>
      <c r="AO326" s="75" t="str">
        <f t="shared" si="118"/>
        <v>-</v>
      </c>
      <c r="AP326" s="48">
        <f t="shared" si="121"/>
        <v>0</v>
      </c>
      <c r="AQ326" s="48">
        <f t="shared" si="119"/>
        <v>0</v>
      </c>
      <c r="AR326" s="49" t="e">
        <f t="shared" si="120"/>
        <v>#N/A</v>
      </c>
    </row>
    <row r="327" spans="1:44" ht="15">
      <c r="A327" s="38"/>
      <c r="B327" s="38"/>
      <c r="C327" s="38"/>
      <c r="D327" s="38"/>
      <c r="E327" s="38"/>
      <c r="F327" s="38"/>
      <c r="G327" s="47">
        <f t="shared" si="102"/>
        <v>6.5978850116714893E-2</v>
      </c>
      <c r="H327" s="44"/>
      <c r="I327" s="44"/>
      <c r="J327" s="45">
        <f t="shared" si="122"/>
        <v>0</v>
      </c>
      <c r="K327" s="38"/>
      <c r="L327" s="38"/>
      <c r="M327" s="38"/>
      <c r="N327" s="34" t="e">
        <f>VLOOKUP(F327,'GHG Emissions Factors'!$B$2:$C$4000,2,FALSE)</f>
        <v>#N/A</v>
      </c>
      <c r="O327" s="45" t="e">
        <f t="shared" si="103"/>
        <v>#N/A</v>
      </c>
      <c r="P327" s="34">
        <f>IF(L327="yes", 0, _xlfn.XLOOKUP(F327, 'GHG Emissions Factors'!$B$2:$B$4000, 'GHG Emissions Factors'!$D$2:$D$4000, 0))</f>
        <v>0</v>
      </c>
      <c r="Q327" s="46"/>
      <c r="R327" s="46"/>
      <c r="S327" s="46">
        <f>ProcurementAllocationData[[#This Row],[Net MWhs Procured]]-(ProcurementAllocationData[[#This Row],[Deep Green]]+ProcurementAllocationData[[#This Row],[LocalSol]]+ProcurementAllocationData[[#This Row],[GreenAccess]])</f>
        <v>0</v>
      </c>
      <c r="T327" s="46"/>
      <c r="U327" s="46"/>
      <c r="V327" s="46"/>
      <c r="W327" s="46"/>
      <c r="X327" s="46"/>
      <c r="Y327" s="112">
        <f t="shared" si="104"/>
        <v>0</v>
      </c>
      <c r="Z327" s="150">
        <f t="shared" si="105"/>
        <v>0</v>
      </c>
      <c r="AA327" s="150">
        <f t="shared" si="106"/>
        <v>0</v>
      </c>
      <c r="AB327" s="113">
        <f t="shared" si="107"/>
        <v>0</v>
      </c>
      <c r="AC327" s="36"/>
      <c r="AD327" s="272" t="str">
        <f t="shared" si="108"/>
        <v/>
      </c>
      <c r="AE327" s="273">
        <f t="shared" si="109"/>
        <v>0</v>
      </c>
      <c r="AF327" s="273">
        <f t="shared" si="110"/>
        <v>0</v>
      </c>
      <c r="AG327" s="273">
        <f t="shared" si="111"/>
        <v>0</v>
      </c>
      <c r="AH327" s="273">
        <f t="shared" si="112"/>
        <v>0</v>
      </c>
      <c r="AI327" s="273">
        <f t="shared" si="113"/>
        <v>0</v>
      </c>
      <c r="AJ327" s="273">
        <f t="shared" si="114"/>
        <v>0</v>
      </c>
      <c r="AK327" s="273">
        <f t="shared" si="115"/>
        <v>0</v>
      </c>
      <c r="AL327" s="274">
        <f t="shared" si="116"/>
        <v>0</v>
      </c>
      <c r="AN327" s="75" t="str">
        <f t="shared" si="117"/>
        <v>-</v>
      </c>
      <c r="AO327" s="75" t="str">
        <f t="shared" si="118"/>
        <v>-</v>
      </c>
      <c r="AP327" s="48">
        <f t="shared" si="121"/>
        <v>0</v>
      </c>
      <c r="AQ327" s="48">
        <f t="shared" si="119"/>
        <v>0</v>
      </c>
      <c r="AR327" s="49" t="e">
        <f t="shared" si="120"/>
        <v>#N/A</v>
      </c>
    </row>
    <row r="328" spans="1:44" ht="15">
      <c r="A328" s="38"/>
      <c r="B328" s="38"/>
      <c r="C328" s="38"/>
      <c r="D328" s="38"/>
      <c r="E328" s="38"/>
      <c r="F328" s="38"/>
      <c r="G328" s="47">
        <f t="shared" si="102"/>
        <v>6.5978850116714893E-2</v>
      </c>
      <c r="H328" s="44"/>
      <c r="I328" s="44"/>
      <c r="J328" s="45">
        <f t="shared" si="122"/>
        <v>0</v>
      </c>
      <c r="K328" s="38"/>
      <c r="L328" s="38"/>
      <c r="M328" s="38"/>
      <c r="N328" s="34" t="e">
        <f>VLOOKUP(F328,'GHG Emissions Factors'!$B$2:$C$4000,2,FALSE)</f>
        <v>#N/A</v>
      </c>
      <c r="O328" s="45" t="e">
        <f t="shared" si="103"/>
        <v>#N/A</v>
      </c>
      <c r="P328" s="34">
        <f>IF(L328="yes", 0, _xlfn.XLOOKUP(F328, 'GHG Emissions Factors'!$B$2:$B$4000, 'GHG Emissions Factors'!$D$2:$D$4000, 0))</f>
        <v>0</v>
      </c>
      <c r="Q328" s="46"/>
      <c r="R328" s="46"/>
      <c r="S328" s="46">
        <f>ProcurementAllocationData[[#This Row],[Net MWhs Procured]]-(ProcurementAllocationData[[#This Row],[Deep Green]]+ProcurementAllocationData[[#This Row],[LocalSol]]+ProcurementAllocationData[[#This Row],[GreenAccess]])</f>
        <v>0</v>
      </c>
      <c r="T328" s="46"/>
      <c r="U328" s="46"/>
      <c r="V328" s="46"/>
      <c r="W328" s="46"/>
      <c r="X328" s="46"/>
      <c r="Y328" s="112">
        <f t="shared" si="104"/>
        <v>0</v>
      </c>
      <c r="Z328" s="150">
        <f t="shared" si="105"/>
        <v>0</v>
      </c>
      <c r="AA328" s="150">
        <f t="shared" si="106"/>
        <v>0</v>
      </c>
      <c r="AB328" s="113">
        <f t="shared" si="107"/>
        <v>0</v>
      </c>
      <c r="AC328" s="36"/>
      <c r="AD328" s="272" t="str">
        <f t="shared" si="108"/>
        <v/>
      </c>
      <c r="AE328" s="273">
        <f t="shared" si="109"/>
        <v>0</v>
      </c>
      <c r="AF328" s="273">
        <f t="shared" si="110"/>
        <v>0</v>
      </c>
      <c r="AG328" s="273">
        <f t="shared" si="111"/>
        <v>0</v>
      </c>
      <c r="AH328" s="273">
        <f t="shared" si="112"/>
        <v>0</v>
      </c>
      <c r="AI328" s="273">
        <f t="shared" si="113"/>
        <v>0</v>
      </c>
      <c r="AJ328" s="273">
        <f t="shared" si="114"/>
        <v>0</v>
      </c>
      <c r="AK328" s="273">
        <f t="shared" si="115"/>
        <v>0</v>
      </c>
      <c r="AL328" s="274">
        <f t="shared" si="116"/>
        <v>0</v>
      </c>
      <c r="AN328" s="75" t="str">
        <f t="shared" si="117"/>
        <v>-</v>
      </c>
      <c r="AO328" s="75" t="str">
        <f t="shared" si="118"/>
        <v>-</v>
      </c>
      <c r="AP328" s="48">
        <f t="shared" si="121"/>
        <v>0</v>
      </c>
      <c r="AQ328" s="48">
        <f t="shared" si="119"/>
        <v>0</v>
      </c>
      <c r="AR328" s="49" t="e">
        <f t="shared" si="120"/>
        <v>#N/A</v>
      </c>
    </row>
    <row r="329" spans="1:44" ht="15">
      <c r="A329" s="38"/>
      <c r="B329" s="38"/>
      <c r="C329" s="38"/>
      <c r="D329" s="38"/>
      <c r="E329" s="38"/>
      <c r="F329" s="38"/>
      <c r="G329" s="47">
        <f t="shared" si="102"/>
        <v>6.5978850116714893E-2</v>
      </c>
      <c r="H329" s="44"/>
      <c r="I329" s="44"/>
      <c r="J329" s="45">
        <f t="shared" si="122"/>
        <v>0</v>
      </c>
      <c r="K329" s="38"/>
      <c r="L329" s="38"/>
      <c r="M329" s="38"/>
      <c r="N329" s="34" t="e">
        <f>VLOOKUP(F329,'GHG Emissions Factors'!$B$2:$C$4000,2,FALSE)</f>
        <v>#N/A</v>
      </c>
      <c r="O329" s="45" t="e">
        <f t="shared" si="103"/>
        <v>#N/A</v>
      </c>
      <c r="P329" s="34">
        <f>IF(L329="yes", 0, _xlfn.XLOOKUP(F329, 'GHG Emissions Factors'!$B$2:$B$4000, 'GHG Emissions Factors'!$D$2:$D$4000, 0))</f>
        <v>0</v>
      </c>
      <c r="Q329" s="46"/>
      <c r="R329" s="46"/>
      <c r="S329" s="46">
        <f>ProcurementAllocationData[[#This Row],[Net MWhs Procured]]-(ProcurementAllocationData[[#This Row],[Deep Green]]+ProcurementAllocationData[[#This Row],[LocalSol]]+ProcurementAllocationData[[#This Row],[GreenAccess]])</f>
        <v>0</v>
      </c>
      <c r="T329" s="46"/>
      <c r="U329" s="46"/>
      <c r="V329" s="46"/>
      <c r="W329" s="46"/>
      <c r="X329" s="46"/>
      <c r="Y329" s="112">
        <f t="shared" si="104"/>
        <v>0</v>
      </c>
      <c r="Z329" s="150">
        <f t="shared" si="105"/>
        <v>0</v>
      </c>
      <c r="AA329" s="150">
        <f t="shared" si="106"/>
        <v>0</v>
      </c>
      <c r="AB329" s="113">
        <f t="shared" si="107"/>
        <v>0</v>
      </c>
      <c r="AC329" s="36"/>
      <c r="AD329" s="272" t="str">
        <f t="shared" si="108"/>
        <v/>
      </c>
      <c r="AE329" s="273">
        <f t="shared" si="109"/>
        <v>0</v>
      </c>
      <c r="AF329" s="273">
        <f t="shared" si="110"/>
        <v>0</v>
      </c>
      <c r="AG329" s="273">
        <f t="shared" si="111"/>
        <v>0</v>
      </c>
      <c r="AH329" s="273">
        <f t="shared" si="112"/>
        <v>0</v>
      </c>
      <c r="AI329" s="273">
        <f t="shared" si="113"/>
        <v>0</v>
      </c>
      <c r="AJ329" s="273">
        <f t="shared" si="114"/>
        <v>0</v>
      </c>
      <c r="AK329" s="273">
        <f t="shared" si="115"/>
        <v>0</v>
      </c>
      <c r="AL329" s="274">
        <f t="shared" si="116"/>
        <v>0</v>
      </c>
      <c r="AN329" s="75" t="str">
        <f t="shared" si="117"/>
        <v>-</v>
      </c>
      <c r="AO329" s="75" t="str">
        <f t="shared" si="118"/>
        <v>-</v>
      </c>
      <c r="AP329" s="48">
        <f t="shared" si="121"/>
        <v>0</v>
      </c>
      <c r="AQ329" s="48">
        <f t="shared" si="119"/>
        <v>0</v>
      </c>
      <c r="AR329" s="49" t="e">
        <f t="shared" si="120"/>
        <v>#N/A</v>
      </c>
    </row>
    <row r="330" spans="1:44" ht="15">
      <c r="A330" s="38"/>
      <c r="B330" s="38"/>
      <c r="C330" s="38"/>
      <c r="D330" s="38"/>
      <c r="E330" s="38"/>
      <c r="F330" s="38"/>
      <c r="G330" s="47">
        <f t="shared" si="102"/>
        <v>6.5978850116714893E-2</v>
      </c>
      <c r="H330" s="44"/>
      <c r="I330" s="44"/>
      <c r="J330" s="45">
        <f t="shared" si="122"/>
        <v>0</v>
      </c>
      <c r="K330" s="38"/>
      <c r="L330" s="38"/>
      <c r="M330" s="38"/>
      <c r="N330" s="34" t="e">
        <f>VLOOKUP(F330,'GHG Emissions Factors'!$B$2:$C$4000,2,FALSE)</f>
        <v>#N/A</v>
      </c>
      <c r="O330" s="45" t="e">
        <f t="shared" si="103"/>
        <v>#N/A</v>
      </c>
      <c r="P330" s="34">
        <f>IF(L330="yes", 0, _xlfn.XLOOKUP(F330, 'GHG Emissions Factors'!$B$2:$B$4000, 'GHG Emissions Factors'!$D$2:$D$4000, 0))</f>
        <v>0</v>
      </c>
      <c r="Q330" s="46"/>
      <c r="R330" s="46"/>
      <c r="S330" s="46">
        <f>ProcurementAllocationData[[#This Row],[Net MWhs Procured]]-(ProcurementAllocationData[[#This Row],[Deep Green]]+ProcurementAllocationData[[#This Row],[LocalSol]]+ProcurementAllocationData[[#This Row],[GreenAccess]])</f>
        <v>0</v>
      </c>
      <c r="T330" s="46"/>
      <c r="U330" s="46"/>
      <c r="V330" s="46"/>
      <c r="W330" s="46"/>
      <c r="X330" s="46"/>
      <c r="Y330" s="112">
        <f t="shared" si="104"/>
        <v>0</v>
      </c>
      <c r="Z330" s="150">
        <f t="shared" si="105"/>
        <v>0</v>
      </c>
      <c r="AA330" s="150">
        <f t="shared" si="106"/>
        <v>0</v>
      </c>
      <c r="AB330" s="113">
        <f t="shared" si="107"/>
        <v>0</v>
      </c>
      <c r="AC330" s="36"/>
      <c r="AD330" s="272" t="str">
        <f t="shared" si="108"/>
        <v/>
      </c>
      <c r="AE330" s="273">
        <f t="shared" si="109"/>
        <v>0</v>
      </c>
      <c r="AF330" s="273">
        <f t="shared" si="110"/>
        <v>0</v>
      </c>
      <c r="AG330" s="273">
        <f t="shared" si="111"/>
        <v>0</v>
      </c>
      <c r="AH330" s="273">
        <f t="shared" si="112"/>
        <v>0</v>
      </c>
      <c r="AI330" s="273">
        <f t="shared" si="113"/>
        <v>0</v>
      </c>
      <c r="AJ330" s="273">
        <f t="shared" si="114"/>
        <v>0</v>
      </c>
      <c r="AK330" s="273">
        <f t="shared" si="115"/>
        <v>0</v>
      </c>
      <c r="AL330" s="274">
        <f t="shared" si="116"/>
        <v>0</v>
      </c>
      <c r="AN330" s="75" t="str">
        <f t="shared" si="117"/>
        <v>-</v>
      </c>
      <c r="AO330" s="75" t="str">
        <f t="shared" si="118"/>
        <v>-</v>
      </c>
      <c r="AP330" s="48">
        <f t="shared" si="121"/>
        <v>0</v>
      </c>
      <c r="AQ330" s="48">
        <f t="shared" si="119"/>
        <v>0</v>
      </c>
      <c r="AR330" s="49" t="e">
        <f t="shared" si="120"/>
        <v>#N/A</v>
      </c>
    </row>
    <row r="331" spans="1:44" ht="15">
      <c r="A331" s="38"/>
      <c r="B331" s="38"/>
      <c r="C331" s="38"/>
      <c r="D331" s="38"/>
      <c r="E331" s="38"/>
      <c r="F331" s="38"/>
      <c r="G331" s="47">
        <f t="shared" si="102"/>
        <v>6.5978850116714893E-2</v>
      </c>
      <c r="H331" s="44"/>
      <c r="I331" s="44"/>
      <c r="J331" s="45">
        <f t="shared" si="122"/>
        <v>0</v>
      </c>
      <c r="K331" s="38"/>
      <c r="L331" s="38"/>
      <c r="M331" s="38"/>
      <c r="N331" s="34" t="e">
        <f>VLOOKUP(F331,'GHG Emissions Factors'!$B$2:$C$4000,2,FALSE)</f>
        <v>#N/A</v>
      </c>
      <c r="O331" s="45" t="e">
        <f t="shared" si="103"/>
        <v>#N/A</v>
      </c>
      <c r="P331" s="34">
        <f>IF(L331="yes", 0, _xlfn.XLOOKUP(F331, 'GHG Emissions Factors'!$B$2:$B$4000, 'GHG Emissions Factors'!$D$2:$D$4000, 0))</f>
        <v>0</v>
      </c>
      <c r="Q331" s="46"/>
      <c r="R331" s="46"/>
      <c r="S331" s="46">
        <f>ProcurementAllocationData[[#This Row],[Net MWhs Procured]]-(ProcurementAllocationData[[#This Row],[Deep Green]]+ProcurementAllocationData[[#This Row],[LocalSol]]+ProcurementAllocationData[[#This Row],[GreenAccess]])</f>
        <v>0</v>
      </c>
      <c r="T331" s="46"/>
      <c r="U331" s="46"/>
      <c r="V331" s="46"/>
      <c r="W331" s="46"/>
      <c r="X331" s="46"/>
      <c r="Y331" s="112">
        <f t="shared" si="104"/>
        <v>0</v>
      </c>
      <c r="Z331" s="150">
        <f t="shared" si="105"/>
        <v>0</v>
      </c>
      <c r="AA331" s="150">
        <f t="shared" si="106"/>
        <v>0</v>
      </c>
      <c r="AB331" s="113">
        <f t="shared" si="107"/>
        <v>0</v>
      </c>
      <c r="AC331" s="36"/>
      <c r="AD331" s="272" t="str">
        <f t="shared" si="108"/>
        <v/>
      </c>
      <c r="AE331" s="273">
        <f t="shared" si="109"/>
        <v>0</v>
      </c>
      <c r="AF331" s="273">
        <f t="shared" si="110"/>
        <v>0</v>
      </c>
      <c r="AG331" s="273">
        <f t="shared" si="111"/>
        <v>0</v>
      </c>
      <c r="AH331" s="273">
        <f t="shared" si="112"/>
        <v>0</v>
      </c>
      <c r="AI331" s="273">
        <f t="shared" si="113"/>
        <v>0</v>
      </c>
      <c r="AJ331" s="273">
        <f t="shared" si="114"/>
        <v>0</v>
      </c>
      <c r="AK331" s="273">
        <f t="shared" si="115"/>
        <v>0</v>
      </c>
      <c r="AL331" s="274">
        <f t="shared" si="116"/>
        <v>0</v>
      </c>
      <c r="AN331" s="75" t="str">
        <f t="shared" si="117"/>
        <v>-</v>
      </c>
      <c r="AO331" s="75" t="str">
        <f t="shared" si="118"/>
        <v>-</v>
      </c>
      <c r="AP331" s="48">
        <f t="shared" si="121"/>
        <v>0</v>
      </c>
      <c r="AQ331" s="48">
        <f t="shared" si="119"/>
        <v>0</v>
      </c>
      <c r="AR331" s="49" t="e">
        <f t="shared" si="120"/>
        <v>#N/A</v>
      </c>
    </row>
    <row r="332" spans="1:44" ht="15">
      <c r="A332" s="38"/>
      <c r="B332" s="38"/>
      <c r="C332" s="38"/>
      <c r="D332" s="38"/>
      <c r="E332" s="38"/>
      <c r="F332" s="38"/>
      <c r="G332" s="47">
        <f t="shared" si="102"/>
        <v>6.5978850116714893E-2</v>
      </c>
      <c r="H332" s="44"/>
      <c r="I332" s="44"/>
      <c r="J332" s="45">
        <f t="shared" si="122"/>
        <v>0</v>
      </c>
      <c r="K332" s="38"/>
      <c r="L332" s="38"/>
      <c r="M332" s="38"/>
      <c r="N332" s="34" t="e">
        <f>VLOOKUP(F332,'GHG Emissions Factors'!$B$2:$C$4000,2,FALSE)</f>
        <v>#N/A</v>
      </c>
      <c r="O332" s="45" t="e">
        <f t="shared" si="103"/>
        <v>#N/A</v>
      </c>
      <c r="P332" s="34">
        <f>IF(L332="yes", 0, _xlfn.XLOOKUP(F332, 'GHG Emissions Factors'!$B$2:$B$4000, 'GHG Emissions Factors'!$D$2:$D$4000, 0))</f>
        <v>0</v>
      </c>
      <c r="Q332" s="46"/>
      <c r="R332" s="46"/>
      <c r="S332" s="46">
        <f>ProcurementAllocationData[[#This Row],[Net MWhs Procured]]-(ProcurementAllocationData[[#This Row],[Deep Green]]+ProcurementAllocationData[[#This Row],[LocalSol]]+ProcurementAllocationData[[#This Row],[GreenAccess]])</f>
        <v>0</v>
      </c>
      <c r="T332" s="46"/>
      <c r="U332" s="46"/>
      <c r="V332" s="46"/>
      <c r="W332" s="46"/>
      <c r="X332" s="46"/>
      <c r="Y332" s="112">
        <f t="shared" si="104"/>
        <v>0</v>
      </c>
      <c r="Z332" s="150">
        <f t="shared" si="105"/>
        <v>0</v>
      </c>
      <c r="AA332" s="150">
        <f t="shared" si="106"/>
        <v>0</v>
      </c>
      <c r="AB332" s="113">
        <f t="shared" si="107"/>
        <v>0</v>
      </c>
      <c r="AC332" s="36"/>
      <c r="AD332" s="272" t="str">
        <f t="shared" si="108"/>
        <v/>
      </c>
      <c r="AE332" s="273">
        <f t="shared" si="109"/>
        <v>0</v>
      </c>
      <c r="AF332" s="273">
        <f t="shared" si="110"/>
        <v>0</v>
      </c>
      <c r="AG332" s="273">
        <f t="shared" si="111"/>
        <v>0</v>
      </c>
      <c r="AH332" s="273">
        <f t="shared" si="112"/>
        <v>0</v>
      </c>
      <c r="AI332" s="273">
        <f t="shared" si="113"/>
        <v>0</v>
      </c>
      <c r="AJ332" s="273">
        <f t="shared" si="114"/>
        <v>0</v>
      </c>
      <c r="AK332" s="273">
        <f t="shared" si="115"/>
        <v>0</v>
      </c>
      <c r="AL332" s="274">
        <f t="shared" si="116"/>
        <v>0</v>
      </c>
      <c r="AN332" s="75" t="str">
        <f t="shared" si="117"/>
        <v>-</v>
      </c>
      <c r="AO332" s="75" t="str">
        <f t="shared" si="118"/>
        <v>-</v>
      </c>
      <c r="AP332" s="48">
        <f t="shared" si="121"/>
        <v>0</v>
      </c>
      <c r="AQ332" s="48">
        <f t="shared" si="119"/>
        <v>0</v>
      </c>
      <c r="AR332" s="49" t="e">
        <f t="shared" si="120"/>
        <v>#N/A</v>
      </c>
    </row>
    <row r="333" spans="1:44" ht="15">
      <c r="A333" s="38"/>
      <c r="B333" s="38"/>
      <c r="C333" s="38"/>
      <c r="D333" s="38"/>
      <c r="E333" s="38"/>
      <c r="F333" s="38"/>
      <c r="G333" s="47">
        <f t="shared" si="102"/>
        <v>6.5978850116714893E-2</v>
      </c>
      <c r="H333" s="44"/>
      <c r="I333" s="44"/>
      <c r="J333" s="45">
        <f t="shared" si="122"/>
        <v>0</v>
      </c>
      <c r="K333" s="38"/>
      <c r="L333" s="38"/>
      <c r="M333" s="38"/>
      <c r="N333" s="34" t="e">
        <f>VLOOKUP(F333,'GHG Emissions Factors'!$B$2:$C$4000,2,FALSE)</f>
        <v>#N/A</v>
      </c>
      <c r="O333" s="45" t="e">
        <f t="shared" si="103"/>
        <v>#N/A</v>
      </c>
      <c r="P333" s="34">
        <f>IF(L333="yes", 0, _xlfn.XLOOKUP(F333, 'GHG Emissions Factors'!$B$2:$B$4000, 'GHG Emissions Factors'!$D$2:$D$4000, 0))</f>
        <v>0</v>
      </c>
      <c r="Q333" s="46"/>
      <c r="R333" s="46"/>
      <c r="S333" s="46">
        <f>ProcurementAllocationData[[#This Row],[Net MWhs Procured]]-(ProcurementAllocationData[[#This Row],[Deep Green]]+ProcurementAllocationData[[#This Row],[LocalSol]]+ProcurementAllocationData[[#This Row],[GreenAccess]])</f>
        <v>0</v>
      </c>
      <c r="T333" s="46"/>
      <c r="U333" s="46"/>
      <c r="V333" s="46"/>
      <c r="W333" s="46"/>
      <c r="X333" s="46"/>
      <c r="Y333" s="112">
        <f t="shared" si="104"/>
        <v>0</v>
      </c>
      <c r="Z333" s="150">
        <f t="shared" si="105"/>
        <v>0</v>
      </c>
      <c r="AA333" s="150">
        <f t="shared" si="106"/>
        <v>0</v>
      </c>
      <c r="AB333" s="113">
        <f t="shared" si="107"/>
        <v>0</v>
      </c>
      <c r="AC333" s="36"/>
      <c r="AD333" s="272" t="str">
        <f t="shared" si="108"/>
        <v/>
      </c>
      <c r="AE333" s="273">
        <f t="shared" si="109"/>
        <v>0</v>
      </c>
      <c r="AF333" s="273">
        <f t="shared" si="110"/>
        <v>0</v>
      </c>
      <c r="AG333" s="273">
        <f t="shared" si="111"/>
        <v>0</v>
      </c>
      <c r="AH333" s="273">
        <f t="shared" si="112"/>
        <v>0</v>
      </c>
      <c r="AI333" s="273">
        <f t="shared" si="113"/>
        <v>0</v>
      </c>
      <c r="AJ333" s="273">
        <f t="shared" si="114"/>
        <v>0</v>
      </c>
      <c r="AK333" s="273">
        <f t="shared" si="115"/>
        <v>0</v>
      </c>
      <c r="AL333" s="274">
        <f t="shared" si="116"/>
        <v>0</v>
      </c>
      <c r="AN333" s="75" t="str">
        <f t="shared" si="117"/>
        <v>-</v>
      </c>
      <c r="AO333" s="75" t="str">
        <f t="shared" si="118"/>
        <v>-</v>
      </c>
      <c r="AP333" s="48">
        <f t="shared" si="121"/>
        <v>0</v>
      </c>
      <c r="AQ333" s="48">
        <f t="shared" si="119"/>
        <v>0</v>
      </c>
      <c r="AR333" s="49" t="e">
        <f t="shared" si="120"/>
        <v>#N/A</v>
      </c>
    </row>
    <row r="334" spans="1:44" ht="15">
      <c r="A334" s="38"/>
      <c r="B334" s="38"/>
      <c r="C334" s="38"/>
      <c r="D334" s="38"/>
      <c r="E334" s="38"/>
      <c r="F334" s="38"/>
      <c r="G334" s="47">
        <f t="shared" si="102"/>
        <v>6.5978850116714893E-2</v>
      </c>
      <c r="H334" s="44"/>
      <c r="I334" s="44"/>
      <c r="J334" s="45">
        <f t="shared" si="122"/>
        <v>0</v>
      </c>
      <c r="K334" s="38"/>
      <c r="L334" s="38"/>
      <c r="M334" s="38"/>
      <c r="N334" s="34" t="e">
        <f>VLOOKUP(F334,'GHG Emissions Factors'!$B$2:$C$4000,2,FALSE)</f>
        <v>#N/A</v>
      </c>
      <c r="O334" s="45" t="e">
        <f t="shared" si="103"/>
        <v>#N/A</v>
      </c>
      <c r="P334" s="34">
        <f>IF(L334="yes", 0, _xlfn.XLOOKUP(F334, 'GHG Emissions Factors'!$B$2:$B$4000, 'GHG Emissions Factors'!$D$2:$D$4000, 0))</f>
        <v>0</v>
      </c>
      <c r="Q334" s="46"/>
      <c r="R334" s="46"/>
      <c r="S334" s="46">
        <f>ProcurementAllocationData[[#This Row],[Net MWhs Procured]]-(ProcurementAllocationData[[#This Row],[Deep Green]]+ProcurementAllocationData[[#This Row],[LocalSol]]+ProcurementAllocationData[[#This Row],[GreenAccess]])</f>
        <v>0</v>
      </c>
      <c r="T334" s="46"/>
      <c r="U334" s="46"/>
      <c r="V334" s="46"/>
      <c r="W334" s="46"/>
      <c r="X334" s="46"/>
      <c r="Y334" s="112">
        <f t="shared" si="104"/>
        <v>0</v>
      </c>
      <c r="Z334" s="150">
        <f t="shared" si="105"/>
        <v>0</v>
      </c>
      <c r="AA334" s="150">
        <f t="shared" si="106"/>
        <v>0</v>
      </c>
      <c r="AB334" s="113">
        <f t="shared" si="107"/>
        <v>0</v>
      </c>
      <c r="AC334" s="36"/>
      <c r="AD334" s="272" t="str">
        <f t="shared" si="108"/>
        <v/>
      </c>
      <c r="AE334" s="273">
        <f t="shared" si="109"/>
        <v>0</v>
      </c>
      <c r="AF334" s="273">
        <f t="shared" si="110"/>
        <v>0</v>
      </c>
      <c r="AG334" s="273">
        <f t="shared" si="111"/>
        <v>0</v>
      </c>
      <c r="AH334" s="273">
        <f t="shared" si="112"/>
        <v>0</v>
      </c>
      <c r="AI334" s="273">
        <f t="shared" si="113"/>
        <v>0</v>
      </c>
      <c r="AJ334" s="273">
        <f t="shared" si="114"/>
        <v>0</v>
      </c>
      <c r="AK334" s="273">
        <f t="shared" si="115"/>
        <v>0</v>
      </c>
      <c r="AL334" s="274">
        <f t="shared" si="116"/>
        <v>0</v>
      </c>
      <c r="AN334" s="75" t="str">
        <f t="shared" si="117"/>
        <v>-</v>
      </c>
      <c r="AO334" s="75" t="str">
        <f t="shared" si="118"/>
        <v>-</v>
      </c>
      <c r="AP334" s="48">
        <f t="shared" si="121"/>
        <v>0</v>
      </c>
      <c r="AQ334" s="48">
        <f t="shared" si="119"/>
        <v>0</v>
      </c>
      <c r="AR334" s="49" t="e">
        <f t="shared" si="120"/>
        <v>#N/A</v>
      </c>
    </row>
    <row r="335" spans="1:44" ht="15">
      <c r="A335" s="38"/>
      <c r="B335" s="38"/>
      <c r="C335" s="38"/>
      <c r="D335" s="38"/>
      <c r="E335" s="38"/>
      <c r="F335" s="38"/>
      <c r="G335" s="47">
        <f t="shared" si="102"/>
        <v>6.5978850116714893E-2</v>
      </c>
      <c r="H335" s="44"/>
      <c r="I335" s="44"/>
      <c r="J335" s="45">
        <f t="shared" si="122"/>
        <v>0</v>
      </c>
      <c r="K335" s="38"/>
      <c r="L335" s="38"/>
      <c r="M335" s="38"/>
      <c r="N335" s="34" t="e">
        <f>VLOOKUP(F335,'GHG Emissions Factors'!$B$2:$C$4000,2,FALSE)</f>
        <v>#N/A</v>
      </c>
      <c r="O335" s="45" t="e">
        <f t="shared" si="103"/>
        <v>#N/A</v>
      </c>
      <c r="P335" s="34">
        <f>IF(L335="yes", 0, _xlfn.XLOOKUP(F335, 'GHG Emissions Factors'!$B$2:$B$4000, 'GHG Emissions Factors'!$D$2:$D$4000, 0))</f>
        <v>0</v>
      </c>
      <c r="Q335" s="46"/>
      <c r="R335" s="46"/>
      <c r="S335" s="46">
        <f>ProcurementAllocationData[[#This Row],[Net MWhs Procured]]-(ProcurementAllocationData[[#This Row],[Deep Green]]+ProcurementAllocationData[[#This Row],[LocalSol]]+ProcurementAllocationData[[#This Row],[GreenAccess]])</f>
        <v>0</v>
      </c>
      <c r="T335" s="46"/>
      <c r="U335" s="46"/>
      <c r="V335" s="46"/>
      <c r="W335" s="46"/>
      <c r="X335" s="46"/>
      <c r="Y335" s="112">
        <f t="shared" si="104"/>
        <v>0</v>
      </c>
      <c r="Z335" s="150">
        <f t="shared" si="105"/>
        <v>0</v>
      </c>
      <c r="AA335" s="150">
        <f t="shared" si="106"/>
        <v>0</v>
      </c>
      <c r="AB335" s="113">
        <f t="shared" si="107"/>
        <v>0</v>
      </c>
      <c r="AC335" s="36"/>
      <c r="AD335" s="272" t="str">
        <f t="shared" si="108"/>
        <v/>
      </c>
      <c r="AE335" s="273">
        <f t="shared" si="109"/>
        <v>0</v>
      </c>
      <c r="AF335" s="273">
        <f t="shared" si="110"/>
        <v>0</v>
      </c>
      <c r="AG335" s="273">
        <f t="shared" si="111"/>
        <v>0</v>
      </c>
      <c r="AH335" s="273">
        <f t="shared" si="112"/>
        <v>0</v>
      </c>
      <c r="AI335" s="273">
        <f t="shared" si="113"/>
        <v>0</v>
      </c>
      <c r="AJ335" s="273">
        <f t="shared" si="114"/>
        <v>0</v>
      </c>
      <c r="AK335" s="273">
        <f t="shared" si="115"/>
        <v>0</v>
      </c>
      <c r="AL335" s="274">
        <f t="shared" si="116"/>
        <v>0</v>
      </c>
      <c r="AN335" s="75" t="str">
        <f t="shared" si="117"/>
        <v>-</v>
      </c>
      <c r="AO335" s="75" t="str">
        <f t="shared" si="118"/>
        <v>-</v>
      </c>
      <c r="AP335" s="48">
        <f t="shared" si="121"/>
        <v>0</v>
      </c>
      <c r="AQ335" s="48">
        <f t="shared" si="119"/>
        <v>0</v>
      </c>
      <c r="AR335" s="49" t="e">
        <f t="shared" si="120"/>
        <v>#N/A</v>
      </c>
    </row>
    <row r="336" spans="1:44" ht="15">
      <c r="A336" s="38"/>
      <c r="B336" s="38"/>
      <c r="C336" s="38"/>
      <c r="D336" s="38"/>
      <c r="E336" s="38"/>
      <c r="F336" s="38"/>
      <c r="G336" s="47">
        <f t="shared" si="102"/>
        <v>6.5978850116714893E-2</v>
      </c>
      <c r="H336" s="44"/>
      <c r="I336" s="44"/>
      <c r="J336" s="45">
        <f t="shared" si="122"/>
        <v>0</v>
      </c>
      <c r="K336" s="38"/>
      <c r="L336" s="38"/>
      <c r="M336" s="38"/>
      <c r="N336" s="34" t="e">
        <f>VLOOKUP(F336,'GHG Emissions Factors'!$B$2:$C$4000,2,FALSE)</f>
        <v>#N/A</v>
      </c>
      <c r="O336" s="45" t="e">
        <f t="shared" si="103"/>
        <v>#N/A</v>
      </c>
      <c r="P336" s="34">
        <f>IF(L336="yes", 0, _xlfn.XLOOKUP(F336, 'GHG Emissions Factors'!$B$2:$B$4000, 'GHG Emissions Factors'!$D$2:$D$4000, 0))</f>
        <v>0</v>
      </c>
      <c r="Q336" s="46"/>
      <c r="R336" s="46"/>
      <c r="S336" s="46">
        <f>ProcurementAllocationData[[#This Row],[Net MWhs Procured]]-(ProcurementAllocationData[[#This Row],[Deep Green]]+ProcurementAllocationData[[#This Row],[LocalSol]]+ProcurementAllocationData[[#This Row],[GreenAccess]])</f>
        <v>0</v>
      </c>
      <c r="T336" s="46"/>
      <c r="U336" s="46"/>
      <c r="V336" s="46"/>
      <c r="W336" s="46"/>
      <c r="X336" s="46"/>
      <c r="Y336" s="112">
        <f t="shared" si="104"/>
        <v>0</v>
      </c>
      <c r="Z336" s="150">
        <f t="shared" si="105"/>
        <v>0</v>
      </c>
      <c r="AA336" s="150">
        <f t="shared" si="106"/>
        <v>0</v>
      </c>
      <c r="AB336" s="113">
        <f t="shared" si="107"/>
        <v>0</v>
      </c>
      <c r="AC336" s="36"/>
      <c r="AD336" s="272" t="str">
        <f t="shared" si="108"/>
        <v/>
      </c>
      <c r="AE336" s="273">
        <f t="shared" si="109"/>
        <v>0</v>
      </c>
      <c r="AF336" s="273">
        <f t="shared" si="110"/>
        <v>0</v>
      </c>
      <c r="AG336" s="273">
        <f t="shared" si="111"/>
        <v>0</v>
      </c>
      <c r="AH336" s="273">
        <f t="shared" si="112"/>
        <v>0</v>
      </c>
      <c r="AI336" s="273">
        <f t="shared" si="113"/>
        <v>0</v>
      </c>
      <c r="AJ336" s="273">
        <f t="shared" si="114"/>
        <v>0</v>
      </c>
      <c r="AK336" s="273">
        <f t="shared" si="115"/>
        <v>0</v>
      </c>
      <c r="AL336" s="274">
        <f t="shared" si="116"/>
        <v>0</v>
      </c>
      <c r="AN336" s="75" t="str">
        <f t="shared" si="117"/>
        <v>-</v>
      </c>
      <c r="AO336" s="75" t="str">
        <f t="shared" si="118"/>
        <v>-</v>
      </c>
      <c r="AP336" s="48">
        <f t="shared" si="121"/>
        <v>0</v>
      </c>
      <c r="AQ336" s="48">
        <f t="shared" si="119"/>
        <v>0</v>
      </c>
      <c r="AR336" s="49" t="e">
        <f t="shared" si="120"/>
        <v>#N/A</v>
      </c>
    </row>
    <row r="337" spans="1:44" ht="15">
      <c r="A337" s="38"/>
      <c r="B337" s="38"/>
      <c r="C337" s="38"/>
      <c r="D337" s="38"/>
      <c r="E337" s="38"/>
      <c r="F337" s="38"/>
      <c r="G337" s="47">
        <f t="shared" si="102"/>
        <v>6.5978850116714893E-2</v>
      </c>
      <c r="H337" s="44"/>
      <c r="I337" s="44"/>
      <c r="J337" s="45">
        <f t="shared" si="122"/>
        <v>0</v>
      </c>
      <c r="K337" s="38"/>
      <c r="L337" s="38"/>
      <c r="M337" s="38"/>
      <c r="N337" s="34" t="e">
        <f>VLOOKUP(F337,'GHG Emissions Factors'!$B$2:$C$4000,2,FALSE)</f>
        <v>#N/A</v>
      </c>
      <c r="O337" s="45" t="e">
        <f t="shared" si="103"/>
        <v>#N/A</v>
      </c>
      <c r="P337" s="34">
        <f>IF(L337="yes", 0, _xlfn.XLOOKUP(F337, 'GHG Emissions Factors'!$B$2:$B$4000, 'GHG Emissions Factors'!$D$2:$D$4000, 0))</f>
        <v>0</v>
      </c>
      <c r="Q337" s="46"/>
      <c r="R337" s="46"/>
      <c r="S337" s="46">
        <f>ProcurementAllocationData[[#This Row],[Net MWhs Procured]]-(ProcurementAllocationData[[#This Row],[Deep Green]]+ProcurementAllocationData[[#This Row],[LocalSol]]+ProcurementAllocationData[[#This Row],[GreenAccess]])</f>
        <v>0</v>
      </c>
      <c r="T337" s="46"/>
      <c r="U337" s="46"/>
      <c r="V337" s="46"/>
      <c r="W337" s="46"/>
      <c r="X337" s="46"/>
      <c r="Y337" s="112">
        <f t="shared" si="104"/>
        <v>0</v>
      </c>
      <c r="Z337" s="150">
        <f t="shared" si="105"/>
        <v>0</v>
      </c>
      <c r="AA337" s="150">
        <f t="shared" si="106"/>
        <v>0</v>
      </c>
      <c r="AB337" s="113">
        <f t="shared" si="107"/>
        <v>0</v>
      </c>
      <c r="AC337" s="36"/>
      <c r="AD337" s="272" t="str">
        <f t="shared" si="108"/>
        <v/>
      </c>
      <c r="AE337" s="273">
        <f t="shared" si="109"/>
        <v>0</v>
      </c>
      <c r="AF337" s="273">
        <f t="shared" si="110"/>
        <v>0</v>
      </c>
      <c r="AG337" s="273">
        <f t="shared" si="111"/>
        <v>0</v>
      </c>
      <c r="AH337" s="273">
        <f t="shared" si="112"/>
        <v>0</v>
      </c>
      <c r="AI337" s="273">
        <f t="shared" si="113"/>
        <v>0</v>
      </c>
      <c r="AJ337" s="273">
        <f t="shared" si="114"/>
        <v>0</v>
      </c>
      <c r="AK337" s="273">
        <f t="shared" si="115"/>
        <v>0</v>
      </c>
      <c r="AL337" s="274">
        <f t="shared" si="116"/>
        <v>0</v>
      </c>
      <c r="AN337" s="75" t="str">
        <f t="shared" si="117"/>
        <v>-</v>
      </c>
      <c r="AO337" s="75" t="str">
        <f t="shared" si="118"/>
        <v>-</v>
      </c>
      <c r="AP337" s="48">
        <f t="shared" si="121"/>
        <v>0</v>
      </c>
      <c r="AQ337" s="48">
        <f t="shared" si="119"/>
        <v>0</v>
      </c>
      <c r="AR337" s="49" t="e">
        <f t="shared" si="120"/>
        <v>#N/A</v>
      </c>
    </row>
    <row r="338" spans="1:44" ht="15">
      <c r="A338" s="38"/>
      <c r="B338" s="38"/>
      <c r="C338" s="38"/>
      <c r="D338" s="38"/>
      <c r="E338" s="38"/>
      <c r="F338" s="38"/>
      <c r="G338" s="47">
        <f t="shared" si="102"/>
        <v>6.5978850116714893E-2</v>
      </c>
      <c r="H338" s="44"/>
      <c r="I338" s="44"/>
      <c r="J338" s="45">
        <f t="shared" si="122"/>
        <v>0</v>
      </c>
      <c r="K338" s="38"/>
      <c r="L338" s="38"/>
      <c r="M338" s="38"/>
      <c r="N338" s="34" t="e">
        <f>VLOOKUP(F338,'GHG Emissions Factors'!$B$2:$C$4000,2,FALSE)</f>
        <v>#N/A</v>
      </c>
      <c r="O338" s="45" t="e">
        <f t="shared" si="103"/>
        <v>#N/A</v>
      </c>
      <c r="P338" s="34">
        <f>IF(L338="yes", 0, _xlfn.XLOOKUP(F338, 'GHG Emissions Factors'!$B$2:$B$4000, 'GHG Emissions Factors'!$D$2:$D$4000, 0))</f>
        <v>0</v>
      </c>
      <c r="Q338" s="46"/>
      <c r="R338" s="46"/>
      <c r="S338" s="46">
        <f>ProcurementAllocationData[[#This Row],[Net MWhs Procured]]-(ProcurementAllocationData[[#This Row],[Deep Green]]+ProcurementAllocationData[[#This Row],[LocalSol]]+ProcurementAllocationData[[#This Row],[GreenAccess]])</f>
        <v>0</v>
      </c>
      <c r="T338" s="46"/>
      <c r="U338" s="46"/>
      <c r="V338" s="46"/>
      <c r="W338" s="46"/>
      <c r="X338" s="46"/>
      <c r="Y338" s="112">
        <f t="shared" si="104"/>
        <v>0</v>
      </c>
      <c r="Z338" s="150">
        <f t="shared" si="105"/>
        <v>0</v>
      </c>
      <c r="AA338" s="150">
        <f t="shared" si="106"/>
        <v>0</v>
      </c>
      <c r="AB338" s="113">
        <f t="shared" si="107"/>
        <v>0</v>
      </c>
      <c r="AC338" s="36"/>
      <c r="AD338" s="272" t="str">
        <f t="shared" si="108"/>
        <v/>
      </c>
      <c r="AE338" s="273">
        <f t="shared" si="109"/>
        <v>0</v>
      </c>
      <c r="AF338" s="273">
        <f t="shared" si="110"/>
        <v>0</v>
      </c>
      <c r="AG338" s="273">
        <f t="shared" si="111"/>
        <v>0</v>
      </c>
      <c r="AH338" s="273">
        <f t="shared" si="112"/>
        <v>0</v>
      </c>
      <c r="AI338" s="273">
        <f t="shared" si="113"/>
        <v>0</v>
      </c>
      <c r="AJ338" s="273">
        <f t="shared" si="114"/>
        <v>0</v>
      </c>
      <c r="AK338" s="273">
        <f t="shared" si="115"/>
        <v>0</v>
      </c>
      <c r="AL338" s="274">
        <f t="shared" si="116"/>
        <v>0</v>
      </c>
      <c r="AN338" s="75" t="str">
        <f t="shared" si="117"/>
        <v>-</v>
      </c>
      <c r="AO338" s="75" t="str">
        <f t="shared" si="118"/>
        <v>-</v>
      </c>
      <c r="AP338" s="48">
        <f t="shared" si="121"/>
        <v>0</v>
      </c>
      <c r="AQ338" s="48">
        <f t="shared" si="119"/>
        <v>0</v>
      </c>
      <c r="AR338" s="49" t="e">
        <f t="shared" si="120"/>
        <v>#N/A</v>
      </c>
    </row>
    <row r="339" spans="1:44" ht="15">
      <c r="A339" s="38"/>
      <c r="B339" s="38"/>
      <c r="C339" s="38"/>
      <c r="D339" s="38"/>
      <c r="E339" s="38"/>
      <c r="F339" s="38"/>
      <c r="G339" s="47">
        <f t="shared" si="102"/>
        <v>6.5978850116714893E-2</v>
      </c>
      <c r="H339" s="44"/>
      <c r="I339" s="44"/>
      <c r="J339" s="45">
        <f t="shared" si="122"/>
        <v>0</v>
      </c>
      <c r="K339" s="38"/>
      <c r="L339" s="38"/>
      <c r="M339" s="38"/>
      <c r="N339" s="34" t="e">
        <f>VLOOKUP(F339,'GHG Emissions Factors'!$B$2:$C$4000,2,FALSE)</f>
        <v>#N/A</v>
      </c>
      <c r="O339" s="45" t="e">
        <f t="shared" si="103"/>
        <v>#N/A</v>
      </c>
      <c r="P339" s="34">
        <f>IF(L339="yes", 0, _xlfn.XLOOKUP(F339, 'GHG Emissions Factors'!$B$2:$B$4000, 'GHG Emissions Factors'!$D$2:$D$4000, 0))</f>
        <v>0</v>
      </c>
      <c r="Q339" s="46"/>
      <c r="R339" s="46"/>
      <c r="S339" s="46">
        <f>ProcurementAllocationData[[#This Row],[Net MWhs Procured]]-(ProcurementAllocationData[[#This Row],[Deep Green]]+ProcurementAllocationData[[#This Row],[LocalSol]]+ProcurementAllocationData[[#This Row],[GreenAccess]])</f>
        <v>0</v>
      </c>
      <c r="T339" s="46"/>
      <c r="U339" s="46"/>
      <c r="V339" s="46"/>
      <c r="W339" s="46"/>
      <c r="X339" s="46"/>
      <c r="Y339" s="112">
        <f t="shared" si="104"/>
        <v>0</v>
      </c>
      <c r="Z339" s="150">
        <f t="shared" si="105"/>
        <v>0</v>
      </c>
      <c r="AA339" s="150">
        <f t="shared" si="106"/>
        <v>0</v>
      </c>
      <c r="AB339" s="113">
        <f t="shared" si="107"/>
        <v>0</v>
      </c>
      <c r="AC339" s="36"/>
      <c r="AD339" s="272" t="str">
        <f t="shared" si="108"/>
        <v/>
      </c>
      <c r="AE339" s="273">
        <f t="shared" si="109"/>
        <v>0</v>
      </c>
      <c r="AF339" s="273">
        <f t="shared" si="110"/>
        <v>0</v>
      </c>
      <c r="AG339" s="273">
        <f t="shared" si="111"/>
        <v>0</v>
      </c>
      <c r="AH339" s="273">
        <f t="shared" si="112"/>
        <v>0</v>
      </c>
      <c r="AI339" s="273">
        <f t="shared" si="113"/>
        <v>0</v>
      </c>
      <c r="AJ339" s="273">
        <f t="shared" si="114"/>
        <v>0</v>
      </c>
      <c r="AK339" s="273">
        <f t="shared" si="115"/>
        <v>0</v>
      </c>
      <c r="AL339" s="274">
        <f t="shared" si="116"/>
        <v>0</v>
      </c>
      <c r="AN339" s="75" t="str">
        <f t="shared" si="117"/>
        <v>-</v>
      </c>
      <c r="AO339" s="75" t="str">
        <f t="shared" si="118"/>
        <v>-</v>
      </c>
      <c r="AP339" s="48">
        <f t="shared" si="121"/>
        <v>0</v>
      </c>
      <c r="AQ339" s="48">
        <f t="shared" si="119"/>
        <v>0</v>
      </c>
      <c r="AR339" s="49" t="e">
        <f t="shared" si="120"/>
        <v>#N/A</v>
      </c>
    </row>
    <row r="340" spans="1:44" ht="15">
      <c r="A340" s="38"/>
      <c r="B340" s="38"/>
      <c r="C340" s="38"/>
      <c r="D340" s="38"/>
      <c r="E340" s="38"/>
      <c r="F340" s="38"/>
      <c r="G340" s="47">
        <f t="shared" si="102"/>
        <v>6.5978850116714893E-2</v>
      </c>
      <c r="H340" s="44"/>
      <c r="I340" s="44"/>
      <c r="J340" s="45">
        <f t="shared" si="122"/>
        <v>0</v>
      </c>
      <c r="K340" s="38"/>
      <c r="L340" s="38"/>
      <c r="M340" s="38"/>
      <c r="N340" s="34" t="e">
        <f>VLOOKUP(F340,'GHG Emissions Factors'!$B$2:$C$4000,2,FALSE)</f>
        <v>#N/A</v>
      </c>
      <c r="O340" s="45" t="e">
        <f t="shared" si="103"/>
        <v>#N/A</v>
      </c>
      <c r="P340" s="34">
        <f>IF(L340="yes", 0, _xlfn.XLOOKUP(F340, 'GHG Emissions Factors'!$B$2:$B$4000, 'GHG Emissions Factors'!$D$2:$D$4000, 0))</f>
        <v>0</v>
      </c>
      <c r="Q340" s="46"/>
      <c r="R340" s="46"/>
      <c r="S340" s="46">
        <f>ProcurementAllocationData[[#This Row],[Net MWhs Procured]]-(ProcurementAllocationData[[#This Row],[Deep Green]]+ProcurementAllocationData[[#This Row],[LocalSol]]+ProcurementAllocationData[[#This Row],[GreenAccess]])</f>
        <v>0</v>
      </c>
      <c r="T340" s="46"/>
      <c r="U340" s="46"/>
      <c r="V340" s="46"/>
      <c r="W340" s="46"/>
      <c r="X340" s="46"/>
      <c r="Y340" s="112">
        <f t="shared" si="104"/>
        <v>0</v>
      </c>
      <c r="Z340" s="150">
        <f t="shared" si="105"/>
        <v>0</v>
      </c>
      <c r="AA340" s="150">
        <f t="shared" si="106"/>
        <v>0</v>
      </c>
      <c r="AB340" s="113">
        <f t="shared" si="107"/>
        <v>0</v>
      </c>
      <c r="AC340" s="36"/>
      <c r="AD340" s="272" t="str">
        <f t="shared" si="108"/>
        <v/>
      </c>
      <c r="AE340" s="273">
        <f t="shared" si="109"/>
        <v>0</v>
      </c>
      <c r="AF340" s="273">
        <f t="shared" si="110"/>
        <v>0</v>
      </c>
      <c r="AG340" s="273">
        <f t="shared" si="111"/>
        <v>0</v>
      </c>
      <c r="AH340" s="273">
        <f t="shared" si="112"/>
        <v>0</v>
      </c>
      <c r="AI340" s="273">
        <f t="shared" si="113"/>
        <v>0</v>
      </c>
      <c r="AJ340" s="273">
        <f t="shared" si="114"/>
        <v>0</v>
      </c>
      <c r="AK340" s="273">
        <f t="shared" si="115"/>
        <v>0</v>
      </c>
      <c r="AL340" s="274">
        <f t="shared" si="116"/>
        <v>0</v>
      </c>
      <c r="AN340" s="75" t="str">
        <f t="shared" si="117"/>
        <v>-</v>
      </c>
      <c r="AO340" s="75" t="str">
        <f t="shared" si="118"/>
        <v>-</v>
      </c>
      <c r="AP340" s="48">
        <f t="shared" si="121"/>
        <v>0</v>
      </c>
      <c r="AQ340" s="48">
        <f t="shared" si="119"/>
        <v>0</v>
      </c>
      <c r="AR340" s="49" t="e">
        <f t="shared" si="120"/>
        <v>#N/A</v>
      </c>
    </row>
    <row r="341" spans="1:44" ht="15">
      <c r="A341" s="38"/>
      <c r="B341" s="38"/>
      <c r="C341" s="38"/>
      <c r="D341" s="38"/>
      <c r="E341" s="38"/>
      <c r="F341" s="38"/>
      <c r="G341" s="47">
        <f t="shared" si="102"/>
        <v>6.5978850116714893E-2</v>
      </c>
      <c r="H341" s="44"/>
      <c r="I341" s="44"/>
      <c r="J341" s="45">
        <f t="shared" si="122"/>
        <v>0</v>
      </c>
      <c r="K341" s="38"/>
      <c r="L341" s="38"/>
      <c r="M341" s="38"/>
      <c r="N341" s="34" t="e">
        <f>VLOOKUP(F341,'GHG Emissions Factors'!$B$2:$C$4000,2,FALSE)</f>
        <v>#N/A</v>
      </c>
      <c r="O341" s="45" t="e">
        <f t="shared" si="103"/>
        <v>#N/A</v>
      </c>
      <c r="P341" s="34">
        <f>IF(L341="yes", 0, _xlfn.XLOOKUP(F341, 'GHG Emissions Factors'!$B$2:$B$4000, 'GHG Emissions Factors'!$D$2:$D$4000, 0))</f>
        <v>0</v>
      </c>
      <c r="Q341" s="46"/>
      <c r="R341" s="46"/>
      <c r="S341" s="46">
        <f>ProcurementAllocationData[[#This Row],[Net MWhs Procured]]-(ProcurementAllocationData[[#This Row],[Deep Green]]+ProcurementAllocationData[[#This Row],[LocalSol]]+ProcurementAllocationData[[#This Row],[GreenAccess]])</f>
        <v>0</v>
      </c>
      <c r="T341" s="46"/>
      <c r="U341" s="46"/>
      <c r="V341" s="46"/>
      <c r="W341" s="46"/>
      <c r="X341" s="46"/>
      <c r="Y341" s="112">
        <f t="shared" si="104"/>
        <v>0</v>
      </c>
      <c r="Z341" s="150">
        <f t="shared" si="105"/>
        <v>0</v>
      </c>
      <c r="AA341" s="150">
        <f t="shared" si="106"/>
        <v>0</v>
      </c>
      <c r="AB341" s="113">
        <f t="shared" si="107"/>
        <v>0</v>
      </c>
      <c r="AC341" s="36"/>
      <c r="AD341" s="272" t="str">
        <f t="shared" si="108"/>
        <v/>
      </c>
      <c r="AE341" s="273">
        <f t="shared" si="109"/>
        <v>0</v>
      </c>
      <c r="AF341" s="273">
        <f t="shared" si="110"/>
        <v>0</v>
      </c>
      <c r="AG341" s="273">
        <f t="shared" si="111"/>
        <v>0</v>
      </c>
      <c r="AH341" s="273">
        <f t="shared" si="112"/>
        <v>0</v>
      </c>
      <c r="AI341" s="273">
        <f t="shared" si="113"/>
        <v>0</v>
      </c>
      <c r="AJ341" s="273">
        <f t="shared" si="114"/>
        <v>0</v>
      </c>
      <c r="AK341" s="273">
        <f t="shared" si="115"/>
        <v>0</v>
      </c>
      <c r="AL341" s="274">
        <f t="shared" si="116"/>
        <v>0</v>
      </c>
      <c r="AN341" s="75" t="str">
        <f t="shared" si="117"/>
        <v>-</v>
      </c>
      <c r="AO341" s="75" t="str">
        <f t="shared" si="118"/>
        <v>-</v>
      </c>
      <c r="AP341" s="48">
        <f t="shared" si="121"/>
        <v>0</v>
      </c>
      <c r="AQ341" s="48">
        <f t="shared" si="119"/>
        <v>0</v>
      </c>
      <c r="AR341" s="49" t="e">
        <f t="shared" si="120"/>
        <v>#N/A</v>
      </c>
    </row>
    <row r="342" spans="1:44" ht="15">
      <c r="A342" s="38"/>
      <c r="B342" s="38"/>
      <c r="C342" s="38"/>
      <c r="D342" s="38"/>
      <c r="E342" s="38"/>
      <c r="F342" s="38"/>
      <c r="G342" s="47">
        <f t="shared" si="102"/>
        <v>6.5978850116714893E-2</v>
      </c>
      <c r="H342" s="44"/>
      <c r="I342" s="44"/>
      <c r="J342" s="45">
        <f t="shared" si="122"/>
        <v>0</v>
      </c>
      <c r="K342" s="38"/>
      <c r="L342" s="38"/>
      <c r="M342" s="38"/>
      <c r="N342" s="34" t="e">
        <f>VLOOKUP(F342,'GHG Emissions Factors'!$B$2:$C$4000,2,FALSE)</f>
        <v>#N/A</v>
      </c>
      <c r="O342" s="45" t="e">
        <f t="shared" si="103"/>
        <v>#N/A</v>
      </c>
      <c r="P342" s="34">
        <f>IF(L342="yes", 0, _xlfn.XLOOKUP(F342, 'GHG Emissions Factors'!$B$2:$B$4000, 'GHG Emissions Factors'!$D$2:$D$4000, 0))</f>
        <v>0</v>
      </c>
      <c r="Q342" s="46"/>
      <c r="R342" s="46"/>
      <c r="S342" s="46">
        <f>ProcurementAllocationData[[#This Row],[Net MWhs Procured]]-(ProcurementAllocationData[[#This Row],[Deep Green]]+ProcurementAllocationData[[#This Row],[LocalSol]]+ProcurementAllocationData[[#This Row],[GreenAccess]])</f>
        <v>0</v>
      </c>
      <c r="T342" s="46"/>
      <c r="U342" s="46"/>
      <c r="V342" s="46"/>
      <c r="W342" s="46"/>
      <c r="X342" s="46"/>
      <c r="Y342" s="112">
        <f t="shared" si="104"/>
        <v>0</v>
      </c>
      <c r="Z342" s="150">
        <f t="shared" si="105"/>
        <v>0</v>
      </c>
      <c r="AA342" s="150">
        <f t="shared" si="106"/>
        <v>0</v>
      </c>
      <c r="AB342" s="113">
        <f t="shared" si="107"/>
        <v>0</v>
      </c>
      <c r="AC342" s="36"/>
      <c r="AD342" s="272" t="str">
        <f t="shared" si="108"/>
        <v/>
      </c>
      <c r="AE342" s="273">
        <f t="shared" si="109"/>
        <v>0</v>
      </c>
      <c r="AF342" s="273">
        <f t="shared" si="110"/>
        <v>0</v>
      </c>
      <c r="AG342" s="273">
        <f t="shared" si="111"/>
        <v>0</v>
      </c>
      <c r="AH342" s="273">
        <f t="shared" si="112"/>
        <v>0</v>
      </c>
      <c r="AI342" s="273">
        <f t="shared" si="113"/>
        <v>0</v>
      </c>
      <c r="AJ342" s="273">
        <f t="shared" si="114"/>
        <v>0</v>
      </c>
      <c r="AK342" s="273">
        <f t="shared" si="115"/>
        <v>0</v>
      </c>
      <c r="AL342" s="274">
        <f t="shared" si="116"/>
        <v>0</v>
      </c>
      <c r="AN342" s="75" t="str">
        <f t="shared" si="117"/>
        <v>-</v>
      </c>
      <c r="AO342" s="75" t="str">
        <f t="shared" si="118"/>
        <v>-</v>
      </c>
      <c r="AP342" s="48">
        <f t="shared" si="121"/>
        <v>0</v>
      </c>
      <c r="AQ342" s="48">
        <f t="shared" si="119"/>
        <v>0</v>
      </c>
      <c r="AR342" s="49" t="e">
        <f t="shared" si="120"/>
        <v>#N/A</v>
      </c>
    </row>
    <row r="343" spans="1:44" ht="15">
      <c r="A343" s="38"/>
      <c r="B343" s="38"/>
      <c r="C343" s="38"/>
      <c r="D343" s="38"/>
      <c r="E343" s="38"/>
      <c r="F343" s="38"/>
      <c r="G343" s="47">
        <f t="shared" si="102"/>
        <v>6.5978850116714893E-2</v>
      </c>
      <c r="H343" s="44"/>
      <c r="I343" s="44"/>
      <c r="J343" s="45">
        <f t="shared" si="122"/>
        <v>0</v>
      </c>
      <c r="K343" s="38"/>
      <c r="L343" s="38"/>
      <c r="M343" s="38"/>
      <c r="N343" s="34" t="e">
        <f>VLOOKUP(F343,'GHG Emissions Factors'!$B$2:$C$4000,2,FALSE)</f>
        <v>#N/A</v>
      </c>
      <c r="O343" s="45" t="e">
        <f t="shared" si="103"/>
        <v>#N/A</v>
      </c>
      <c r="P343" s="34">
        <f>IF(L343="yes", 0, _xlfn.XLOOKUP(F343, 'GHG Emissions Factors'!$B$2:$B$4000, 'GHG Emissions Factors'!$D$2:$D$4000, 0))</f>
        <v>0</v>
      </c>
      <c r="Q343" s="46"/>
      <c r="R343" s="46"/>
      <c r="S343" s="46">
        <f>ProcurementAllocationData[[#This Row],[Net MWhs Procured]]-(ProcurementAllocationData[[#This Row],[Deep Green]]+ProcurementAllocationData[[#This Row],[LocalSol]]+ProcurementAllocationData[[#This Row],[GreenAccess]])</f>
        <v>0</v>
      </c>
      <c r="T343" s="46"/>
      <c r="U343" s="46"/>
      <c r="V343" s="46"/>
      <c r="W343" s="46"/>
      <c r="X343" s="46"/>
      <c r="Y343" s="112">
        <f t="shared" si="104"/>
        <v>0</v>
      </c>
      <c r="Z343" s="150">
        <f t="shared" si="105"/>
        <v>0</v>
      </c>
      <c r="AA343" s="150">
        <f t="shared" si="106"/>
        <v>0</v>
      </c>
      <c r="AB343" s="113">
        <f t="shared" si="107"/>
        <v>0</v>
      </c>
      <c r="AC343" s="36"/>
      <c r="AD343" s="272" t="str">
        <f t="shared" si="108"/>
        <v/>
      </c>
      <c r="AE343" s="273">
        <f t="shared" si="109"/>
        <v>0</v>
      </c>
      <c r="AF343" s="273">
        <f t="shared" si="110"/>
        <v>0</v>
      </c>
      <c r="AG343" s="273">
        <f t="shared" si="111"/>
        <v>0</v>
      </c>
      <c r="AH343" s="273">
        <f t="shared" si="112"/>
        <v>0</v>
      </c>
      <c r="AI343" s="273">
        <f t="shared" si="113"/>
        <v>0</v>
      </c>
      <c r="AJ343" s="273">
        <f t="shared" si="114"/>
        <v>0</v>
      </c>
      <c r="AK343" s="273">
        <f t="shared" si="115"/>
        <v>0</v>
      </c>
      <c r="AL343" s="274">
        <f t="shared" si="116"/>
        <v>0</v>
      </c>
      <c r="AN343" s="75" t="str">
        <f t="shared" si="117"/>
        <v>-</v>
      </c>
      <c r="AO343" s="75" t="str">
        <f t="shared" si="118"/>
        <v>-</v>
      </c>
      <c r="AP343" s="48">
        <f t="shared" si="121"/>
        <v>0</v>
      </c>
      <c r="AQ343" s="48">
        <f t="shared" si="119"/>
        <v>0</v>
      </c>
      <c r="AR343" s="49" t="e">
        <f t="shared" si="120"/>
        <v>#N/A</v>
      </c>
    </row>
    <row r="344" spans="1:44" ht="15">
      <c r="A344" s="38"/>
      <c r="B344" s="38"/>
      <c r="C344" s="38"/>
      <c r="D344" s="38"/>
      <c r="E344" s="38"/>
      <c r="F344" s="38"/>
      <c r="G344" s="47">
        <f t="shared" si="102"/>
        <v>6.5978850116714893E-2</v>
      </c>
      <c r="H344" s="44"/>
      <c r="I344" s="44"/>
      <c r="J344" s="45">
        <f t="shared" si="122"/>
        <v>0</v>
      </c>
      <c r="K344" s="38"/>
      <c r="L344" s="38"/>
      <c r="M344" s="38"/>
      <c r="N344" s="34" t="e">
        <f>VLOOKUP(F344,'GHG Emissions Factors'!$B$2:$C$4000,2,FALSE)</f>
        <v>#N/A</v>
      </c>
      <c r="O344" s="45" t="e">
        <f t="shared" si="103"/>
        <v>#N/A</v>
      </c>
      <c r="P344" s="34">
        <f>IF(L344="yes", 0, _xlfn.XLOOKUP(F344, 'GHG Emissions Factors'!$B$2:$B$4000, 'GHG Emissions Factors'!$D$2:$D$4000, 0))</f>
        <v>0</v>
      </c>
      <c r="Q344" s="46"/>
      <c r="R344" s="46"/>
      <c r="S344" s="46">
        <f>ProcurementAllocationData[[#This Row],[Net MWhs Procured]]-(ProcurementAllocationData[[#This Row],[Deep Green]]+ProcurementAllocationData[[#This Row],[LocalSol]]+ProcurementAllocationData[[#This Row],[GreenAccess]])</f>
        <v>0</v>
      </c>
      <c r="T344" s="46"/>
      <c r="U344" s="46"/>
      <c r="V344" s="46"/>
      <c r="W344" s="46"/>
      <c r="X344" s="46"/>
      <c r="Y344" s="112">
        <f t="shared" si="104"/>
        <v>0</v>
      </c>
      <c r="Z344" s="150">
        <f t="shared" si="105"/>
        <v>0</v>
      </c>
      <c r="AA344" s="150">
        <f t="shared" si="106"/>
        <v>0</v>
      </c>
      <c r="AB344" s="113">
        <f t="shared" si="107"/>
        <v>0</v>
      </c>
      <c r="AC344" s="36"/>
      <c r="AD344" s="272" t="str">
        <f t="shared" si="108"/>
        <v/>
      </c>
      <c r="AE344" s="273">
        <f t="shared" si="109"/>
        <v>0</v>
      </c>
      <c r="AF344" s="273">
        <f t="shared" si="110"/>
        <v>0</v>
      </c>
      <c r="AG344" s="273">
        <f t="shared" si="111"/>
        <v>0</v>
      </c>
      <c r="AH344" s="273">
        <f t="shared" si="112"/>
        <v>0</v>
      </c>
      <c r="AI344" s="273">
        <f t="shared" si="113"/>
        <v>0</v>
      </c>
      <c r="AJ344" s="273">
        <f t="shared" si="114"/>
        <v>0</v>
      </c>
      <c r="AK344" s="273">
        <f t="shared" si="115"/>
        <v>0</v>
      </c>
      <c r="AL344" s="274">
        <f t="shared" si="116"/>
        <v>0</v>
      </c>
      <c r="AN344" s="75" t="str">
        <f t="shared" si="117"/>
        <v>-</v>
      </c>
      <c r="AO344" s="75" t="str">
        <f t="shared" si="118"/>
        <v>-</v>
      </c>
      <c r="AP344" s="48">
        <f t="shared" si="121"/>
        <v>0</v>
      </c>
      <c r="AQ344" s="48">
        <f t="shared" si="119"/>
        <v>0</v>
      </c>
      <c r="AR344" s="49" t="e">
        <f t="shared" si="120"/>
        <v>#N/A</v>
      </c>
    </row>
    <row r="345" spans="1:44" ht="15">
      <c r="A345" s="38"/>
      <c r="B345" s="38"/>
      <c r="C345" s="38"/>
      <c r="D345" s="38"/>
      <c r="E345" s="38"/>
      <c r="F345" s="38"/>
      <c r="G345" s="47">
        <f t="shared" si="102"/>
        <v>6.5978850116714893E-2</v>
      </c>
      <c r="H345" s="44"/>
      <c r="I345" s="44"/>
      <c r="J345" s="45">
        <f t="shared" si="122"/>
        <v>0</v>
      </c>
      <c r="K345" s="38"/>
      <c r="L345" s="38"/>
      <c r="M345" s="38"/>
      <c r="N345" s="34" t="e">
        <f>VLOOKUP(F345,'GHG Emissions Factors'!$B$2:$C$4000,2,FALSE)</f>
        <v>#N/A</v>
      </c>
      <c r="O345" s="45" t="e">
        <f t="shared" si="103"/>
        <v>#N/A</v>
      </c>
      <c r="P345" s="34">
        <f>IF(L345="yes", 0, _xlfn.XLOOKUP(F345, 'GHG Emissions Factors'!$B$2:$B$4000, 'GHG Emissions Factors'!$D$2:$D$4000, 0))</f>
        <v>0</v>
      </c>
      <c r="Q345" s="46"/>
      <c r="R345" s="46"/>
      <c r="S345" s="46">
        <f>ProcurementAllocationData[[#This Row],[Net MWhs Procured]]-(ProcurementAllocationData[[#This Row],[Deep Green]]+ProcurementAllocationData[[#This Row],[LocalSol]]+ProcurementAllocationData[[#This Row],[GreenAccess]])</f>
        <v>0</v>
      </c>
      <c r="T345" s="46"/>
      <c r="U345" s="46"/>
      <c r="V345" s="46"/>
      <c r="W345" s="46"/>
      <c r="X345" s="46"/>
      <c r="Y345" s="112">
        <f t="shared" si="104"/>
        <v>0</v>
      </c>
      <c r="Z345" s="150">
        <f t="shared" si="105"/>
        <v>0</v>
      </c>
      <c r="AA345" s="150">
        <f t="shared" si="106"/>
        <v>0</v>
      </c>
      <c r="AB345" s="113">
        <f t="shared" si="107"/>
        <v>0</v>
      </c>
      <c r="AC345" s="36"/>
      <c r="AD345" s="272" t="str">
        <f t="shared" si="108"/>
        <v/>
      </c>
      <c r="AE345" s="273">
        <f t="shared" si="109"/>
        <v>0</v>
      </c>
      <c r="AF345" s="273">
        <f t="shared" si="110"/>
        <v>0</v>
      </c>
      <c r="AG345" s="273">
        <f t="shared" si="111"/>
        <v>0</v>
      </c>
      <c r="AH345" s="273">
        <f t="shared" si="112"/>
        <v>0</v>
      </c>
      <c r="AI345" s="273">
        <f t="shared" si="113"/>
        <v>0</v>
      </c>
      <c r="AJ345" s="273">
        <f t="shared" si="114"/>
        <v>0</v>
      </c>
      <c r="AK345" s="273">
        <f t="shared" si="115"/>
        <v>0</v>
      </c>
      <c r="AL345" s="274">
        <f t="shared" si="116"/>
        <v>0</v>
      </c>
      <c r="AN345" s="75" t="str">
        <f t="shared" si="117"/>
        <v>-</v>
      </c>
      <c r="AO345" s="75" t="str">
        <f t="shared" si="118"/>
        <v>-</v>
      </c>
      <c r="AP345" s="48">
        <f t="shared" si="121"/>
        <v>0</v>
      </c>
      <c r="AQ345" s="48">
        <f t="shared" si="119"/>
        <v>0</v>
      </c>
      <c r="AR345" s="49" t="e">
        <f t="shared" si="120"/>
        <v>#N/A</v>
      </c>
    </row>
    <row r="346" spans="1:44" ht="15">
      <c r="A346" s="38"/>
      <c r="B346" s="38"/>
      <c r="C346" s="38"/>
      <c r="D346" s="38"/>
      <c r="E346" s="38"/>
      <c r="F346" s="38"/>
      <c r="G346" s="47">
        <f t="shared" si="102"/>
        <v>6.5978850116714893E-2</v>
      </c>
      <c r="H346" s="44"/>
      <c r="I346" s="44"/>
      <c r="J346" s="45">
        <f t="shared" si="122"/>
        <v>0</v>
      </c>
      <c r="K346" s="38"/>
      <c r="L346" s="38"/>
      <c r="M346" s="38"/>
      <c r="N346" s="34" t="e">
        <f>VLOOKUP(F346,'GHG Emissions Factors'!$B$2:$C$4000,2,FALSE)</f>
        <v>#N/A</v>
      </c>
      <c r="O346" s="45" t="e">
        <f t="shared" si="103"/>
        <v>#N/A</v>
      </c>
      <c r="P346" s="34">
        <f>IF(L346="yes", 0, _xlfn.XLOOKUP(F346, 'GHG Emissions Factors'!$B$2:$B$4000, 'GHG Emissions Factors'!$D$2:$D$4000, 0))</f>
        <v>0</v>
      </c>
      <c r="Q346" s="46"/>
      <c r="R346" s="46"/>
      <c r="S346" s="46">
        <f>ProcurementAllocationData[[#This Row],[Net MWhs Procured]]-(ProcurementAllocationData[[#This Row],[Deep Green]]+ProcurementAllocationData[[#This Row],[LocalSol]]+ProcurementAllocationData[[#This Row],[GreenAccess]])</f>
        <v>0</v>
      </c>
      <c r="T346" s="46"/>
      <c r="U346" s="46"/>
      <c r="V346" s="46"/>
      <c r="W346" s="46"/>
      <c r="X346" s="46"/>
      <c r="Y346" s="112">
        <f t="shared" si="104"/>
        <v>0</v>
      </c>
      <c r="Z346" s="150">
        <f t="shared" si="105"/>
        <v>0</v>
      </c>
      <c r="AA346" s="150">
        <f t="shared" si="106"/>
        <v>0</v>
      </c>
      <c r="AB346" s="113">
        <f t="shared" si="107"/>
        <v>0</v>
      </c>
      <c r="AC346" s="36"/>
      <c r="AD346" s="272" t="str">
        <f t="shared" si="108"/>
        <v/>
      </c>
      <c r="AE346" s="273">
        <f t="shared" si="109"/>
        <v>0</v>
      </c>
      <c r="AF346" s="273">
        <f t="shared" si="110"/>
        <v>0</v>
      </c>
      <c r="AG346" s="273">
        <f t="shared" si="111"/>
        <v>0</v>
      </c>
      <c r="AH346" s="273">
        <f t="shared" si="112"/>
        <v>0</v>
      </c>
      <c r="AI346" s="273">
        <f t="shared" si="113"/>
        <v>0</v>
      </c>
      <c r="AJ346" s="273">
        <f t="shared" si="114"/>
        <v>0</v>
      </c>
      <c r="AK346" s="273">
        <f t="shared" si="115"/>
        <v>0</v>
      </c>
      <c r="AL346" s="274">
        <f t="shared" si="116"/>
        <v>0</v>
      </c>
      <c r="AN346" s="75" t="str">
        <f t="shared" si="117"/>
        <v>-</v>
      </c>
      <c r="AO346" s="75" t="str">
        <f t="shared" si="118"/>
        <v>-</v>
      </c>
      <c r="AP346" s="48">
        <f t="shared" si="121"/>
        <v>0</v>
      </c>
      <c r="AQ346" s="48">
        <f t="shared" si="119"/>
        <v>0</v>
      </c>
      <c r="AR346" s="49" t="e">
        <f t="shared" si="120"/>
        <v>#N/A</v>
      </c>
    </row>
    <row r="347" spans="1:44" ht="15">
      <c r="A347" s="38"/>
      <c r="B347" s="38"/>
      <c r="C347" s="38"/>
      <c r="D347" s="38"/>
      <c r="E347" s="38"/>
      <c r="F347" s="38"/>
      <c r="G347" s="47">
        <f t="shared" si="102"/>
        <v>6.5978850116714893E-2</v>
      </c>
      <c r="H347" s="44"/>
      <c r="I347" s="44"/>
      <c r="J347" s="45">
        <f t="shared" si="122"/>
        <v>0</v>
      </c>
      <c r="K347" s="38"/>
      <c r="L347" s="38"/>
      <c r="M347" s="38"/>
      <c r="N347" s="34" t="e">
        <f>VLOOKUP(F347,'GHG Emissions Factors'!$B$2:$C$4000,2,FALSE)</f>
        <v>#N/A</v>
      </c>
      <c r="O347" s="45" t="e">
        <f t="shared" si="103"/>
        <v>#N/A</v>
      </c>
      <c r="P347" s="34">
        <f>IF(L347="yes", 0, _xlfn.XLOOKUP(F347, 'GHG Emissions Factors'!$B$2:$B$4000, 'GHG Emissions Factors'!$D$2:$D$4000, 0))</f>
        <v>0</v>
      </c>
      <c r="Q347" s="46"/>
      <c r="R347" s="46"/>
      <c r="S347" s="46">
        <f>ProcurementAllocationData[[#This Row],[Net MWhs Procured]]-(ProcurementAllocationData[[#This Row],[Deep Green]]+ProcurementAllocationData[[#This Row],[LocalSol]]+ProcurementAllocationData[[#This Row],[GreenAccess]])</f>
        <v>0</v>
      </c>
      <c r="T347" s="46"/>
      <c r="U347" s="46"/>
      <c r="V347" s="46"/>
      <c r="W347" s="46"/>
      <c r="X347" s="46"/>
      <c r="Y347" s="112">
        <f t="shared" si="104"/>
        <v>0</v>
      </c>
      <c r="Z347" s="150">
        <f t="shared" si="105"/>
        <v>0</v>
      </c>
      <c r="AA347" s="150">
        <f t="shared" si="106"/>
        <v>0</v>
      </c>
      <c r="AB347" s="113">
        <f t="shared" si="107"/>
        <v>0</v>
      </c>
      <c r="AC347" s="36"/>
      <c r="AD347" s="272" t="str">
        <f t="shared" si="108"/>
        <v/>
      </c>
      <c r="AE347" s="273">
        <f t="shared" si="109"/>
        <v>0</v>
      </c>
      <c r="AF347" s="273">
        <f t="shared" si="110"/>
        <v>0</v>
      </c>
      <c r="AG347" s="273">
        <f t="shared" si="111"/>
        <v>0</v>
      </c>
      <c r="AH347" s="273">
        <f t="shared" si="112"/>
        <v>0</v>
      </c>
      <c r="AI347" s="273">
        <f t="shared" si="113"/>
        <v>0</v>
      </c>
      <c r="AJ347" s="273">
        <f t="shared" si="114"/>
        <v>0</v>
      </c>
      <c r="AK347" s="273">
        <f t="shared" si="115"/>
        <v>0</v>
      </c>
      <c r="AL347" s="274">
        <f t="shared" si="116"/>
        <v>0</v>
      </c>
      <c r="AN347" s="75" t="str">
        <f t="shared" si="117"/>
        <v>-</v>
      </c>
      <c r="AO347" s="75" t="str">
        <f t="shared" si="118"/>
        <v>-</v>
      </c>
      <c r="AP347" s="48">
        <f t="shared" si="121"/>
        <v>0</v>
      </c>
      <c r="AQ347" s="48">
        <f t="shared" si="119"/>
        <v>0</v>
      </c>
      <c r="AR347" s="49" t="e">
        <f t="shared" si="120"/>
        <v>#N/A</v>
      </c>
    </row>
    <row r="348" spans="1:44" ht="15">
      <c r="A348" s="38"/>
      <c r="B348" s="38"/>
      <c r="C348" s="38"/>
      <c r="D348" s="38"/>
      <c r="E348" s="38"/>
      <c r="F348" s="38"/>
      <c r="G348" s="47">
        <f t="shared" ref="G348:G411" si="123">IF(C348="CA",Default_in_state_loss_factor,Default_out_of_state_loss_factor)</f>
        <v>6.5978850116714893E-2</v>
      </c>
      <c r="H348" s="44"/>
      <c r="I348" s="44"/>
      <c r="J348" s="45">
        <f t="shared" si="122"/>
        <v>0</v>
      </c>
      <c r="K348" s="38"/>
      <c r="L348" s="38"/>
      <c r="M348" s="38"/>
      <c r="N348" s="34" t="e">
        <f>VLOOKUP(F348,'GHG Emissions Factors'!$B$2:$C$4000,2,FALSE)</f>
        <v>#N/A</v>
      </c>
      <c r="O348" s="45" t="e">
        <f t="shared" ref="O348:O411" si="124">N348*J348</f>
        <v>#N/A</v>
      </c>
      <c r="P348" s="34">
        <f>IF(L348="yes", 0, _xlfn.XLOOKUP(F348, 'GHG Emissions Factors'!$B$2:$B$4000, 'GHG Emissions Factors'!$D$2:$D$4000, 0))</f>
        <v>0</v>
      </c>
      <c r="Q348" s="46"/>
      <c r="R348" s="46"/>
      <c r="S348" s="46">
        <f>ProcurementAllocationData[[#This Row],[Net MWhs Procured]]-(ProcurementAllocationData[[#This Row],[Deep Green]]+ProcurementAllocationData[[#This Row],[LocalSol]]+ProcurementAllocationData[[#This Row],[GreenAccess]])</f>
        <v>0</v>
      </c>
      <c r="T348" s="46"/>
      <c r="U348" s="46"/>
      <c r="V348" s="46"/>
      <c r="W348" s="46"/>
      <c r="X348" s="46"/>
      <c r="Y348" s="112">
        <f t="shared" ref="Y348:Y411" si="125">ROUND((SUM(Q348:X348)*G348),0)</f>
        <v>0</v>
      </c>
      <c r="Z348" s="150">
        <f t="shared" ref="Z348:Z411" si="126">IF(M348="Yes",Y348,0)</f>
        <v>0</v>
      </c>
      <c r="AA348" s="150">
        <f t="shared" ref="AA348:AA411" si="127">Y348-Z348</f>
        <v>0</v>
      </c>
      <c r="AB348" s="113">
        <f t="shared" ref="AB348:AB411" si="128">J348-(SUM(Q348:X348))</f>
        <v>0</v>
      </c>
      <c r="AC348" s="36"/>
      <c r="AD348" s="272" t="str">
        <f t="shared" ref="AD348:AD411" si="129">IF(ISTEXT(A348),A348,"")</f>
        <v/>
      </c>
      <c r="AE348" s="273">
        <f t="shared" ref="AE348:AE411" si="130">Q348*$P348</f>
        <v>0</v>
      </c>
      <c r="AF348" s="273">
        <f t="shared" ref="AF348:AF411" si="131">R348*$P348</f>
        <v>0</v>
      </c>
      <c r="AG348" s="273">
        <f t="shared" ref="AG348:AG411" si="132">S348*$P348</f>
        <v>0</v>
      </c>
      <c r="AH348" s="273">
        <f t="shared" ref="AH348:AH411" si="133">T348*$P348</f>
        <v>0</v>
      </c>
      <c r="AI348" s="273">
        <f t="shared" ref="AI348:AI411" si="134">U348*$P348</f>
        <v>0</v>
      </c>
      <c r="AJ348" s="273">
        <f t="shared" ref="AJ348:AJ411" si="135">V348*$P348</f>
        <v>0</v>
      </c>
      <c r="AK348" s="273">
        <f t="shared" ref="AK348:AK411" si="136">W348*$P348</f>
        <v>0</v>
      </c>
      <c r="AL348" s="274">
        <f t="shared" ref="AL348:AL411" si="137">(X348*$P348)+(Z348*$P348)</f>
        <v>0</v>
      </c>
      <c r="AN348" s="75" t="str">
        <f t="shared" ref="AN348:AN411" si="138">IF(AB348&gt;0,A348,"-")</f>
        <v>-</v>
      </c>
      <c r="AO348" s="75" t="str">
        <f t="shared" ref="AO348:AO411" si="139">IF(AB348&gt;0,B348,"-")</f>
        <v>-</v>
      </c>
      <c r="AP348" s="48">
        <f t="shared" si="121"/>
        <v>0</v>
      </c>
      <c r="AQ348" s="48">
        <f t="shared" ref="AQ348:AQ411" si="140">AP348*G348</f>
        <v>0</v>
      </c>
      <c r="AR348" s="49" t="e">
        <f t="shared" ref="AR348:AR411" si="141">IF(ISNUMBER(AP348),AP348*N348,0)</f>
        <v>#N/A</v>
      </c>
    </row>
    <row r="349" spans="1:44" ht="15">
      <c r="A349" s="38"/>
      <c r="B349" s="38"/>
      <c r="C349" s="38"/>
      <c r="D349" s="38"/>
      <c r="E349" s="38"/>
      <c r="F349" s="38"/>
      <c r="G349" s="47">
        <f t="shared" si="123"/>
        <v>6.5978850116714893E-2</v>
      </c>
      <c r="H349" s="44"/>
      <c r="I349" s="44"/>
      <c r="J349" s="45">
        <f t="shared" si="122"/>
        <v>0</v>
      </c>
      <c r="K349" s="38"/>
      <c r="L349" s="38"/>
      <c r="M349" s="38"/>
      <c r="N349" s="34" t="e">
        <f>VLOOKUP(F349,'GHG Emissions Factors'!$B$2:$C$4000,2,FALSE)</f>
        <v>#N/A</v>
      </c>
      <c r="O349" s="45" t="e">
        <f t="shared" si="124"/>
        <v>#N/A</v>
      </c>
      <c r="P349" s="34">
        <f>IF(L349="yes", 0, _xlfn.XLOOKUP(F349, 'GHG Emissions Factors'!$B$2:$B$4000, 'GHG Emissions Factors'!$D$2:$D$4000, 0))</f>
        <v>0</v>
      </c>
      <c r="Q349" s="46"/>
      <c r="R349" s="46"/>
      <c r="S349" s="46">
        <f>ProcurementAllocationData[[#This Row],[Net MWhs Procured]]-(ProcurementAllocationData[[#This Row],[Deep Green]]+ProcurementAllocationData[[#This Row],[LocalSol]]+ProcurementAllocationData[[#This Row],[GreenAccess]])</f>
        <v>0</v>
      </c>
      <c r="T349" s="46"/>
      <c r="U349" s="46"/>
      <c r="V349" s="46"/>
      <c r="W349" s="46"/>
      <c r="X349" s="46"/>
      <c r="Y349" s="112">
        <f t="shared" si="125"/>
        <v>0</v>
      </c>
      <c r="Z349" s="150">
        <f t="shared" si="126"/>
        <v>0</v>
      </c>
      <c r="AA349" s="150">
        <f t="shared" si="127"/>
        <v>0</v>
      </c>
      <c r="AB349" s="113">
        <f t="shared" si="128"/>
        <v>0</v>
      </c>
      <c r="AC349" s="36"/>
      <c r="AD349" s="272" t="str">
        <f t="shared" si="129"/>
        <v/>
      </c>
      <c r="AE349" s="273">
        <f t="shared" si="130"/>
        <v>0</v>
      </c>
      <c r="AF349" s="273">
        <f t="shared" si="131"/>
        <v>0</v>
      </c>
      <c r="AG349" s="273">
        <f t="shared" si="132"/>
        <v>0</v>
      </c>
      <c r="AH349" s="273">
        <f t="shared" si="133"/>
        <v>0</v>
      </c>
      <c r="AI349" s="273">
        <f t="shared" si="134"/>
        <v>0</v>
      </c>
      <c r="AJ349" s="273">
        <f t="shared" si="135"/>
        <v>0</v>
      </c>
      <c r="AK349" s="273">
        <f t="shared" si="136"/>
        <v>0</v>
      </c>
      <c r="AL349" s="274">
        <f t="shared" si="137"/>
        <v>0</v>
      </c>
      <c r="AN349" s="75" t="str">
        <f t="shared" si="138"/>
        <v>-</v>
      </c>
      <c r="AO349" s="75" t="str">
        <f t="shared" si="139"/>
        <v>-</v>
      </c>
      <c r="AP349" s="48">
        <f t="shared" ref="AP349:AP412" si="142">IF(AB349&gt;0,AB349,0)</f>
        <v>0</v>
      </c>
      <c r="AQ349" s="48">
        <f t="shared" si="140"/>
        <v>0</v>
      </c>
      <c r="AR349" s="49" t="e">
        <f t="shared" si="141"/>
        <v>#N/A</v>
      </c>
    </row>
    <row r="350" spans="1:44" ht="15">
      <c r="A350" s="38"/>
      <c r="B350" s="38"/>
      <c r="C350" s="38"/>
      <c r="D350" s="38"/>
      <c r="E350" s="38"/>
      <c r="F350" s="38"/>
      <c r="G350" s="47">
        <f t="shared" si="123"/>
        <v>6.5978850116714893E-2</v>
      </c>
      <c r="H350" s="44"/>
      <c r="I350" s="44"/>
      <c r="J350" s="45">
        <f t="shared" si="122"/>
        <v>0</v>
      </c>
      <c r="K350" s="38"/>
      <c r="L350" s="38"/>
      <c r="M350" s="38"/>
      <c r="N350" s="34" t="e">
        <f>VLOOKUP(F350,'GHG Emissions Factors'!$B$2:$C$4000,2,FALSE)</f>
        <v>#N/A</v>
      </c>
      <c r="O350" s="45" t="e">
        <f t="shared" si="124"/>
        <v>#N/A</v>
      </c>
      <c r="P350" s="34">
        <f>IF(L350="yes", 0, _xlfn.XLOOKUP(F350, 'GHG Emissions Factors'!$B$2:$B$4000, 'GHG Emissions Factors'!$D$2:$D$4000, 0))</f>
        <v>0</v>
      </c>
      <c r="Q350" s="46"/>
      <c r="R350" s="46"/>
      <c r="S350" s="46">
        <f>ProcurementAllocationData[[#This Row],[Net MWhs Procured]]-(ProcurementAllocationData[[#This Row],[Deep Green]]+ProcurementAllocationData[[#This Row],[LocalSol]]+ProcurementAllocationData[[#This Row],[GreenAccess]])</f>
        <v>0</v>
      </c>
      <c r="T350" s="46"/>
      <c r="U350" s="46"/>
      <c r="V350" s="46"/>
      <c r="W350" s="46"/>
      <c r="X350" s="46"/>
      <c r="Y350" s="112">
        <f t="shared" si="125"/>
        <v>0</v>
      </c>
      <c r="Z350" s="150">
        <f t="shared" si="126"/>
        <v>0</v>
      </c>
      <c r="AA350" s="150">
        <f t="shared" si="127"/>
        <v>0</v>
      </c>
      <c r="AB350" s="113">
        <f t="shared" si="128"/>
        <v>0</v>
      </c>
      <c r="AC350" s="36"/>
      <c r="AD350" s="272" t="str">
        <f t="shared" si="129"/>
        <v/>
      </c>
      <c r="AE350" s="273">
        <f t="shared" si="130"/>
        <v>0</v>
      </c>
      <c r="AF350" s="273">
        <f t="shared" si="131"/>
        <v>0</v>
      </c>
      <c r="AG350" s="273">
        <f t="shared" si="132"/>
        <v>0</v>
      </c>
      <c r="AH350" s="273">
        <f t="shared" si="133"/>
        <v>0</v>
      </c>
      <c r="AI350" s="273">
        <f t="shared" si="134"/>
        <v>0</v>
      </c>
      <c r="AJ350" s="273">
        <f t="shared" si="135"/>
        <v>0</v>
      </c>
      <c r="AK350" s="273">
        <f t="shared" si="136"/>
        <v>0</v>
      </c>
      <c r="AL350" s="274">
        <f t="shared" si="137"/>
        <v>0</v>
      </c>
      <c r="AN350" s="75" t="str">
        <f t="shared" si="138"/>
        <v>-</v>
      </c>
      <c r="AO350" s="75" t="str">
        <f t="shared" si="139"/>
        <v>-</v>
      </c>
      <c r="AP350" s="48">
        <f t="shared" si="142"/>
        <v>0</v>
      </c>
      <c r="AQ350" s="48">
        <f t="shared" si="140"/>
        <v>0</v>
      </c>
      <c r="AR350" s="49" t="e">
        <f t="shared" si="141"/>
        <v>#N/A</v>
      </c>
    </row>
    <row r="351" spans="1:44" ht="15">
      <c r="A351" s="38"/>
      <c r="B351" s="38"/>
      <c r="C351" s="38"/>
      <c r="D351" s="38"/>
      <c r="E351" s="38"/>
      <c r="F351" s="38"/>
      <c r="G351" s="47">
        <f t="shared" si="123"/>
        <v>6.5978850116714893E-2</v>
      </c>
      <c r="H351" s="44"/>
      <c r="I351" s="44"/>
      <c r="J351" s="45">
        <f t="shared" si="122"/>
        <v>0</v>
      </c>
      <c r="K351" s="38"/>
      <c r="L351" s="38"/>
      <c r="M351" s="38"/>
      <c r="N351" s="34" t="e">
        <f>VLOOKUP(F351,'GHG Emissions Factors'!$B$2:$C$4000,2,FALSE)</f>
        <v>#N/A</v>
      </c>
      <c r="O351" s="45" t="e">
        <f t="shared" si="124"/>
        <v>#N/A</v>
      </c>
      <c r="P351" s="34">
        <f>IF(L351="yes", 0, _xlfn.XLOOKUP(F351, 'GHG Emissions Factors'!$B$2:$B$4000, 'GHG Emissions Factors'!$D$2:$D$4000, 0))</f>
        <v>0</v>
      </c>
      <c r="Q351" s="46"/>
      <c r="R351" s="46"/>
      <c r="S351" s="46">
        <f>ProcurementAllocationData[[#This Row],[Net MWhs Procured]]-(ProcurementAllocationData[[#This Row],[Deep Green]]+ProcurementAllocationData[[#This Row],[LocalSol]]+ProcurementAllocationData[[#This Row],[GreenAccess]])</f>
        <v>0</v>
      </c>
      <c r="T351" s="46"/>
      <c r="U351" s="46"/>
      <c r="V351" s="46"/>
      <c r="W351" s="46"/>
      <c r="X351" s="46"/>
      <c r="Y351" s="112">
        <f t="shared" si="125"/>
        <v>0</v>
      </c>
      <c r="Z351" s="150">
        <f t="shared" si="126"/>
        <v>0</v>
      </c>
      <c r="AA351" s="150">
        <f t="shared" si="127"/>
        <v>0</v>
      </c>
      <c r="AB351" s="113">
        <f t="shared" si="128"/>
        <v>0</v>
      </c>
      <c r="AC351" s="36"/>
      <c r="AD351" s="272" t="str">
        <f t="shared" si="129"/>
        <v/>
      </c>
      <c r="AE351" s="273">
        <f t="shared" si="130"/>
        <v>0</v>
      </c>
      <c r="AF351" s="273">
        <f t="shared" si="131"/>
        <v>0</v>
      </c>
      <c r="AG351" s="273">
        <f t="shared" si="132"/>
        <v>0</v>
      </c>
      <c r="AH351" s="273">
        <f t="shared" si="133"/>
        <v>0</v>
      </c>
      <c r="AI351" s="273">
        <f t="shared" si="134"/>
        <v>0</v>
      </c>
      <c r="AJ351" s="273">
        <f t="shared" si="135"/>
        <v>0</v>
      </c>
      <c r="AK351" s="273">
        <f t="shared" si="136"/>
        <v>0</v>
      </c>
      <c r="AL351" s="274">
        <f t="shared" si="137"/>
        <v>0</v>
      </c>
      <c r="AN351" s="75" t="str">
        <f t="shared" si="138"/>
        <v>-</v>
      </c>
      <c r="AO351" s="75" t="str">
        <f t="shared" si="139"/>
        <v>-</v>
      </c>
      <c r="AP351" s="48">
        <f t="shared" si="142"/>
        <v>0</v>
      </c>
      <c r="AQ351" s="48">
        <f t="shared" si="140"/>
        <v>0</v>
      </c>
      <c r="AR351" s="49" t="e">
        <f t="shared" si="141"/>
        <v>#N/A</v>
      </c>
    </row>
    <row r="352" spans="1:44" ht="15">
      <c r="A352" s="38"/>
      <c r="B352" s="38"/>
      <c r="C352" s="38"/>
      <c r="D352" s="38"/>
      <c r="E352" s="38"/>
      <c r="F352" s="38"/>
      <c r="G352" s="47">
        <f t="shared" si="123"/>
        <v>6.5978850116714893E-2</v>
      </c>
      <c r="H352" s="44"/>
      <c r="I352" s="44"/>
      <c r="J352" s="45">
        <f t="shared" si="122"/>
        <v>0</v>
      </c>
      <c r="K352" s="38"/>
      <c r="L352" s="38"/>
      <c r="M352" s="38"/>
      <c r="N352" s="34" t="e">
        <f>VLOOKUP(F352,'GHG Emissions Factors'!$B$2:$C$4000,2,FALSE)</f>
        <v>#N/A</v>
      </c>
      <c r="O352" s="45" t="e">
        <f t="shared" si="124"/>
        <v>#N/A</v>
      </c>
      <c r="P352" s="34">
        <f>IF(L352="yes", 0, _xlfn.XLOOKUP(F352, 'GHG Emissions Factors'!$B$2:$B$4000, 'GHG Emissions Factors'!$D$2:$D$4000, 0))</f>
        <v>0</v>
      </c>
      <c r="Q352" s="46"/>
      <c r="R352" s="46"/>
      <c r="S352" s="46">
        <f>ProcurementAllocationData[[#This Row],[Net MWhs Procured]]-(ProcurementAllocationData[[#This Row],[Deep Green]]+ProcurementAllocationData[[#This Row],[LocalSol]]+ProcurementAllocationData[[#This Row],[GreenAccess]])</f>
        <v>0</v>
      </c>
      <c r="T352" s="46"/>
      <c r="U352" s="46"/>
      <c r="V352" s="46"/>
      <c r="W352" s="46"/>
      <c r="X352" s="46"/>
      <c r="Y352" s="112">
        <f t="shared" si="125"/>
        <v>0</v>
      </c>
      <c r="Z352" s="150">
        <f t="shared" si="126"/>
        <v>0</v>
      </c>
      <c r="AA352" s="150">
        <f t="shared" si="127"/>
        <v>0</v>
      </c>
      <c r="AB352" s="113">
        <f t="shared" si="128"/>
        <v>0</v>
      </c>
      <c r="AC352" s="36"/>
      <c r="AD352" s="272" t="str">
        <f t="shared" si="129"/>
        <v/>
      </c>
      <c r="AE352" s="273">
        <f t="shared" si="130"/>
        <v>0</v>
      </c>
      <c r="AF352" s="273">
        <f t="shared" si="131"/>
        <v>0</v>
      </c>
      <c r="AG352" s="273">
        <f t="shared" si="132"/>
        <v>0</v>
      </c>
      <c r="AH352" s="273">
        <f t="shared" si="133"/>
        <v>0</v>
      </c>
      <c r="AI352" s="273">
        <f t="shared" si="134"/>
        <v>0</v>
      </c>
      <c r="AJ352" s="273">
        <f t="shared" si="135"/>
        <v>0</v>
      </c>
      <c r="AK352" s="273">
        <f t="shared" si="136"/>
        <v>0</v>
      </c>
      <c r="AL352" s="274">
        <f t="shared" si="137"/>
        <v>0</v>
      </c>
      <c r="AN352" s="75" t="str">
        <f t="shared" si="138"/>
        <v>-</v>
      </c>
      <c r="AO352" s="75" t="str">
        <f t="shared" si="139"/>
        <v>-</v>
      </c>
      <c r="AP352" s="48">
        <f t="shared" si="142"/>
        <v>0</v>
      </c>
      <c r="AQ352" s="48">
        <f t="shared" si="140"/>
        <v>0</v>
      </c>
      <c r="AR352" s="49" t="e">
        <f t="shared" si="141"/>
        <v>#N/A</v>
      </c>
    </row>
    <row r="353" spans="1:44" ht="15">
      <c r="A353" s="38"/>
      <c r="B353" s="38"/>
      <c r="C353" s="38"/>
      <c r="D353" s="38"/>
      <c r="E353" s="38"/>
      <c r="F353" s="38"/>
      <c r="G353" s="47">
        <f t="shared" si="123"/>
        <v>6.5978850116714893E-2</v>
      </c>
      <c r="H353" s="44"/>
      <c r="I353" s="44"/>
      <c r="J353" s="45">
        <f t="shared" si="122"/>
        <v>0</v>
      </c>
      <c r="K353" s="38"/>
      <c r="L353" s="38"/>
      <c r="M353" s="38"/>
      <c r="N353" s="34" t="e">
        <f>VLOOKUP(F353,'GHG Emissions Factors'!$B$2:$C$4000,2,FALSE)</f>
        <v>#N/A</v>
      </c>
      <c r="O353" s="45" t="e">
        <f t="shared" si="124"/>
        <v>#N/A</v>
      </c>
      <c r="P353" s="34">
        <f>IF(L353="yes", 0, _xlfn.XLOOKUP(F353, 'GHG Emissions Factors'!$B$2:$B$4000, 'GHG Emissions Factors'!$D$2:$D$4000, 0))</f>
        <v>0</v>
      </c>
      <c r="Q353" s="46"/>
      <c r="R353" s="46"/>
      <c r="S353" s="46">
        <f>ProcurementAllocationData[[#This Row],[Net MWhs Procured]]-(ProcurementAllocationData[[#This Row],[Deep Green]]+ProcurementAllocationData[[#This Row],[LocalSol]]+ProcurementAllocationData[[#This Row],[GreenAccess]])</f>
        <v>0</v>
      </c>
      <c r="T353" s="46"/>
      <c r="U353" s="46"/>
      <c r="V353" s="46"/>
      <c r="W353" s="46"/>
      <c r="X353" s="46"/>
      <c r="Y353" s="112">
        <f t="shared" si="125"/>
        <v>0</v>
      </c>
      <c r="Z353" s="150">
        <f t="shared" si="126"/>
        <v>0</v>
      </c>
      <c r="AA353" s="150">
        <f t="shared" si="127"/>
        <v>0</v>
      </c>
      <c r="AB353" s="113">
        <f t="shared" si="128"/>
        <v>0</v>
      </c>
      <c r="AC353" s="36"/>
      <c r="AD353" s="272" t="str">
        <f t="shared" si="129"/>
        <v/>
      </c>
      <c r="AE353" s="273">
        <f t="shared" si="130"/>
        <v>0</v>
      </c>
      <c r="AF353" s="273">
        <f t="shared" si="131"/>
        <v>0</v>
      </c>
      <c r="AG353" s="273">
        <f t="shared" si="132"/>
        <v>0</v>
      </c>
      <c r="AH353" s="273">
        <f t="shared" si="133"/>
        <v>0</v>
      </c>
      <c r="AI353" s="273">
        <f t="shared" si="134"/>
        <v>0</v>
      </c>
      <c r="AJ353" s="273">
        <f t="shared" si="135"/>
        <v>0</v>
      </c>
      <c r="AK353" s="273">
        <f t="shared" si="136"/>
        <v>0</v>
      </c>
      <c r="AL353" s="274">
        <f t="shared" si="137"/>
        <v>0</v>
      </c>
      <c r="AN353" s="75" t="str">
        <f t="shared" si="138"/>
        <v>-</v>
      </c>
      <c r="AO353" s="75" t="str">
        <f t="shared" si="139"/>
        <v>-</v>
      </c>
      <c r="AP353" s="48">
        <f t="shared" si="142"/>
        <v>0</v>
      </c>
      <c r="AQ353" s="48">
        <f t="shared" si="140"/>
        <v>0</v>
      </c>
      <c r="AR353" s="49" t="e">
        <f t="shared" si="141"/>
        <v>#N/A</v>
      </c>
    </row>
    <row r="354" spans="1:44" ht="15">
      <c r="A354" s="38"/>
      <c r="B354" s="38"/>
      <c r="C354" s="38"/>
      <c r="D354" s="38"/>
      <c r="E354" s="38"/>
      <c r="F354" s="38"/>
      <c r="G354" s="47">
        <f t="shared" si="123"/>
        <v>6.5978850116714893E-2</v>
      </c>
      <c r="H354" s="44"/>
      <c r="I354" s="44"/>
      <c r="J354" s="45">
        <f t="shared" si="122"/>
        <v>0</v>
      </c>
      <c r="K354" s="38"/>
      <c r="L354" s="38"/>
      <c r="M354" s="38"/>
      <c r="N354" s="34" t="e">
        <f>VLOOKUP(F354,'GHG Emissions Factors'!$B$2:$C$4000,2,FALSE)</f>
        <v>#N/A</v>
      </c>
      <c r="O354" s="45" t="e">
        <f t="shared" si="124"/>
        <v>#N/A</v>
      </c>
      <c r="P354" s="34">
        <f>IF(L354="yes", 0, _xlfn.XLOOKUP(F354, 'GHG Emissions Factors'!$B$2:$B$4000, 'GHG Emissions Factors'!$D$2:$D$4000, 0))</f>
        <v>0</v>
      </c>
      <c r="Q354" s="46"/>
      <c r="R354" s="46"/>
      <c r="S354" s="46">
        <f>ProcurementAllocationData[[#This Row],[Net MWhs Procured]]-(ProcurementAllocationData[[#This Row],[Deep Green]]+ProcurementAllocationData[[#This Row],[LocalSol]]+ProcurementAllocationData[[#This Row],[GreenAccess]])</f>
        <v>0</v>
      </c>
      <c r="T354" s="46"/>
      <c r="U354" s="46"/>
      <c r="V354" s="46"/>
      <c r="W354" s="46"/>
      <c r="X354" s="46"/>
      <c r="Y354" s="112">
        <f t="shared" si="125"/>
        <v>0</v>
      </c>
      <c r="Z354" s="150">
        <f t="shared" si="126"/>
        <v>0</v>
      </c>
      <c r="AA354" s="150">
        <f t="shared" si="127"/>
        <v>0</v>
      </c>
      <c r="AB354" s="113">
        <f t="shared" si="128"/>
        <v>0</v>
      </c>
      <c r="AC354" s="36"/>
      <c r="AD354" s="272" t="str">
        <f t="shared" si="129"/>
        <v/>
      </c>
      <c r="AE354" s="273">
        <f t="shared" si="130"/>
        <v>0</v>
      </c>
      <c r="AF354" s="273">
        <f t="shared" si="131"/>
        <v>0</v>
      </c>
      <c r="AG354" s="273">
        <f t="shared" si="132"/>
        <v>0</v>
      </c>
      <c r="AH354" s="273">
        <f t="shared" si="133"/>
        <v>0</v>
      </c>
      <c r="AI354" s="273">
        <f t="shared" si="134"/>
        <v>0</v>
      </c>
      <c r="AJ354" s="273">
        <f t="shared" si="135"/>
        <v>0</v>
      </c>
      <c r="AK354" s="273">
        <f t="shared" si="136"/>
        <v>0</v>
      </c>
      <c r="AL354" s="274">
        <f t="shared" si="137"/>
        <v>0</v>
      </c>
      <c r="AN354" s="75" t="str">
        <f t="shared" si="138"/>
        <v>-</v>
      </c>
      <c r="AO354" s="75" t="str">
        <f t="shared" si="139"/>
        <v>-</v>
      </c>
      <c r="AP354" s="48">
        <f t="shared" si="142"/>
        <v>0</v>
      </c>
      <c r="AQ354" s="48">
        <f t="shared" si="140"/>
        <v>0</v>
      </c>
      <c r="AR354" s="49" t="e">
        <f t="shared" si="141"/>
        <v>#N/A</v>
      </c>
    </row>
    <row r="355" spans="1:44" ht="15">
      <c r="A355" s="38"/>
      <c r="B355" s="38"/>
      <c r="C355" s="38"/>
      <c r="D355" s="38"/>
      <c r="E355" s="38"/>
      <c r="F355" s="38"/>
      <c r="G355" s="47">
        <f t="shared" si="123"/>
        <v>6.5978850116714893E-2</v>
      </c>
      <c r="H355" s="44"/>
      <c r="I355" s="44"/>
      <c r="J355" s="45">
        <f t="shared" si="122"/>
        <v>0</v>
      </c>
      <c r="K355" s="38"/>
      <c r="L355" s="38"/>
      <c r="M355" s="38"/>
      <c r="N355" s="34" t="e">
        <f>VLOOKUP(F355,'GHG Emissions Factors'!$B$2:$C$4000,2,FALSE)</f>
        <v>#N/A</v>
      </c>
      <c r="O355" s="45" t="e">
        <f t="shared" si="124"/>
        <v>#N/A</v>
      </c>
      <c r="P355" s="34">
        <f>IF(L355="yes", 0, _xlfn.XLOOKUP(F355, 'GHG Emissions Factors'!$B$2:$B$4000, 'GHG Emissions Factors'!$D$2:$D$4000, 0))</f>
        <v>0</v>
      </c>
      <c r="Q355" s="46"/>
      <c r="R355" s="46"/>
      <c r="S355" s="46">
        <f>ProcurementAllocationData[[#This Row],[Net MWhs Procured]]-(ProcurementAllocationData[[#This Row],[Deep Green]]+ProcurementAllocationData[[#This Row],[LocalSol]]+ProcurementAllocationData[[#This Row],[GreenAccess]])</f>
        <v>0</v>
      </c>
      <c r="T355" s="46"/>
      <c r="U355" s="46"/>
      <c r="V355" s="46"/>
      <c r="W355" s="46"/>
      <c r="X355" s="46"/>
      <c r="Y355" s="112">
        <f t="shared" si="125"/>
        <v>0</v>
      </c>
      <c r="Z355" s="150">
        <f t="shared" si="126"/>
        <v>0</v>
      </c>
      <c r="AA355" s="150">
        <f t="shared" si="127"/>
        <v>0</v>
      </c>
      <c r="AB355" s="113">
        <f t="shared" si="128"/>
        <v>0</v>
      </c>
      <c r="AC355" s="36"/>
      <c r="AD355" s="272" t="str">
        <f t="shared" si="129"/>
        <v/>
      </c>
      <c r="AE355" s="273">
        <f t="shared" si="130"/>
        <v>0</v>
      </c>
      <c r="AF355" s="273">
        <f t="shared" si="131"/>
        <v>0</v>
      </c>
      <c r="AG355" s="273">
        <f t="shared" si="132"/>
        <v>0</v>
      </c>
      <c r="AH355" s="273">
        <f t="shared" si="133"/>
        <v>0</v>
      </c>
      <c r="AI355" s="273">
        <f t="shared" si="134"/>
        <v>0</v>
      </c>
      <c r="AJ355" s="273">
        <f t="shared" si="135"/>
        <v>0</v>
      </c>
      <c r="AK355" s="273">
        <f t="shared" si="136"/>
        <v>0</v>
      </c>
      <c r="AL355" s="274">
        <f t="shared" si="137"/>
        <v>0</v>
      </c>
      <c r="AN355" s="75" t="str">
        <f t="shared" si="138"/>
        <v>-</v>
      </c>
      <c r="AO355" s="75" t="str">
        <f t="shared" si="139"/>
        <v>-</v>
      </c>
      <c r="AP355" s="48">
        <f t="shared" si="142"/>
        <v>0</v>
      </c>
      <c r="AQ355" s="48">
        <f t="shared" si="140"/>
        <v>0</v>
      </c>
      <c r="AR355" s="49" t="e">
        <f t="shared" si="141"/>
        <v>#N/A</v>
      </c>
    </row>
    <row r="356" spans="1:44" ht="15">
      <c r="A356" s="38"/>
      <c r="B356" s="38"/>
      <c r="C356" s="38"/>
      <c r="D356" s="38"/>
      <c r="E356" s="38"/>
      <c r="F356" s="38"/>
      <c r="G356" s="47">
        <f t="shared" si="123"/>
        <v>6.5978850116714893E-2</v>
      </c>
      <c r="H356" s="44"/>
      <c r="I356" s="44"/>
      <c r="J356" s="45">
        <f t="shared" si="122"/>
        <v>0</v>
      </c>
      <c r="K356" s="38"/>
      <c r="L356" s="38"/>
      <c r="M356" s="38"/>
      <c r="N356" s="34" t="e">
        <f>VLOOKUP(F356,'GHG Emissions Factors'!$B$2:$C$4000,2,FALSE)</f>
        <v>#N/A</v>
      </c>
      <c r="O356" s="45" t="e">
        <f t="shared" si="124"/>
        <v>#N/A</v>
      </c>
      <c r="P356" s="34">
        <f>IF(L356="yes", 0, _xlfn.XLOOKUP(F356, 'GHG Emissions Factors'!$B$2:$B$4000, 'GHG Emissions Factors'!$D$2:$D$4000, 0))</f>
        <v>0</v>
      </c>
      <c r="Q356" s="46"/>
      <c r="R356" s="46"/>
      <c r="S356" s="46">
        <f>ProcurementAllocationData[[#This Row],[Net MWhs Procured]]-(ProcurementAllocationData[[#This Row],[Deep Green]]+ProcurementAllocationData[[#This Row],[LocalSol]]+ProcurementAllocationData[[#This Row],[GreenAccess]])</f>
        <v>0</v>
      </c>
      <c r="T356" s="46"/>
      <c r="U356" s="46"/>
      <c r="V356" s="46"/>
      <c r="W356" s="46"/>
      <c r="X356" s="46"/>
      <c r="Y356" s="112">
        <f t="shared" si="125"/>
        <v>0</v>
      </c>
      <c r="Z356" s="150">
        <f t="shared" si="126"/>
        <v>0</v>
      </c>
      <c r="AA356" s="150">
        <f t="shared" si="127"/>
        <v>0</v>
      </c>
      <c r="AB356" s="113">
        <f t="shared" si="128"/>
        <v>0</v>
      </c>
      <c r="AC356" s="36"/>
      <c r="AD356" s="272" t="str">
        <f t="shared" si="129"/>
        <v/>
      </c>
      <c r="AE356" s="273">
        <f t="shared" si="130"/>
        <v>0</v>
      </c>
      <c r="AF356" s="273">
        <f t="shared" si="131"/>
        <v>0</v>
      </c>
      <c r="AG356" s="273">
        <f t="shared" si="132"/>
        <v>0</v>
      </c>
      <c r="AH356" s="273">
        <f t="shared" si="133"/>
        <v>0</v>
      </c>
      <c r="AI356" s="273">
        <f t="shared" si="134"/>
        <v>0</v>
      </c>
      <c r="AJ356" s="273">
        <f t="shared" si="135"/>
        <v>0</v>
      </c>
      <c r="AK356" s="273">
        <f t="shared" si="136"/>
        <v>0</v>
      </c>
      <c r="AL356" s="274">
        <f t="shared" si="137"/>
        <v>0</v>
      </c>
      <c r="AN356" s="75" t="str">
        <f t="shared" si="138"/>
        <v>-</v>
      </c>
      <c r="AO356" s="75" t="str">
        <f t="shared" si="139"/>
        <v>-</v>
      </c>
      <c r="AP356" s="48">
        <f t="shared" si="142"/>
        <v>0</v>
      </c>
      <c r="AQ356" s="48">
        <f t="shared" si="140"/>
        <v>0</v>
      </c>
      <c r="AR356" s="49" t="e">
        <f t="shared" si="141"/>
        <v>#N/A</v>
      </c>
    </row>
    <row r="357" spans="1:44" ht="15">
      <c r="A357" s="38"/>
      <c r="B357" s="38"/>
      <c r="C357" s="38"/>
      <c r="D357" s="38"/>
      <c r="E357" s="38"/>
      <c r="F357" s="38"/>
      <c r="G357" s="47">
        <f t="shared" si="123"/>
        <v>6.5978850116714893E-2</v>
      </c>
      <c r="H357" s="44"/>
      <c r="I357" s="44"/>
      <c r="J357" s="45">
        <f t="shared" si="122"/>
        <v>0</v>
      </c>
      <c r="K357" s="38"/>
      <c r="L357" s="38"/>
      <c r="M357" s="38"/>
      <c r="N357" s="34" t="e">
        <f>VLOOKUP(F357,'GHG Emissions Factors'!$B$2:$C$4000,2,FALSE)</f>
        <v>#N/A</v>
      </c>
      <c r="O357" s="45" t="e">
        <f t="shared" si="124"/>
        <v>#N/A</v>
      </c>
      <c r="P357" s="34">
        <f>IF(L357="yes", 0, _xlfn.XLOOKUP(F357, 'GHG Emissions Factors'!$B$2:$B$4000, 'GHG Emissions Factors'!$D$2:$D$4000, 0))</f>
        <v>0</v>
      </c>
      <c r="Q357" s="46"/>
      <c r="R357" s="46"/>
      <c r="S357" s="46">
        <f>ProcurementAllocationData[[#This Row],[Net MWhs Procured]]-(ProcurementAllocationData[[#This Row],[Deep Green]]+ProcurementAllocationData[[#This Row],[LocalSol]]+ProcurementAllocationData[[#This Row],[GreenAccess]])</f>
        <v>0</v>
      </c>
      <c r="T357" s="46"/>
      <c r="U357" s="46"/>
      <c r="V357" s="46"/>
      <c r="W357" s="46"/>
      <c r="X357" s="46"/>
      <c r="Y357" s="112">
        <f t="shared" si="125"/>
        <v>0</v>
      </c>
      <c r="Z357" s="150">
        <f t="shared" si="126"/>
        <v>0</v>
      </c>
      <c r="AA357" s="150">
        <f t="shared" si="127"/>
        <v>0</v>
      </c>
      <c r="AB357" s="113">
        <f t="shared" si="128"/>
        <v>0</v>
      </c>
      <c r="AC357" s="36"/>
      <c r="AD357" s="272" t="str">
        <f t="shared" si="129"/>
        <v/>
      </c>
      <c r="AE357" s="273">
        <f t="shared" si="130"/>
        <v>0</v>
      </c>
      <c r="AF357" s="273">
        <f t="shared" si="131"/>
        <v>0</v>
      </c>
      <c r="AG357" s="273">
        <f t="shared" si="132"/>
        <v>0</v>
      </c>
      <c r="AH357" s="273">
        <f t="shared" si="133"/>
        <v>0</v>
      </c>
      <c r="AI357" s="273">
        <f t="shared" si="134"/>
        <v>0</v>
      </c>
      <c r="AJ357" s="273">
        <f t="shared" si="135"/>
        <v>0</v>
      </c>
      <c r="AK357" s="273">
        <f t="shared" si="136"/>
        <v>0</v>
      </c>
      <c r="AL357" s="274">
        <f t="shared" si="137"/>
        <v>0</v>
      </c>
      <c r="AN357" s="75" t="str">
        <f t="shared" si="138"/>
        <v>-</v>
      </c>
      <c r="AO357" s="75" t="str">
        <f t="shared" si="139"/>
        <v>-</v>
      </c>
      <c r="AP357" s="48">
        <f t="shared" si="142"/>
        <v>0</v>
      </c>
      <c r="AQ357" s="48">
        <f t="shared" si="140"/>
        <v>0</v>
      </c>
      <c r="AR357" s="49" t="e">
        <f t="shared" si="141"/>
        <v>#N/A</v>
      </c>
    </row>
    <row r="358" spans="1:44" ht="15">
      <c r="A358" s="38"/>
      <c r="B358" s="38"/>
      <c r="C358" s="38"/>
      <c r="D358" s="38"/>
      <c r="E358" s="38"/>
      <c r="F358" s="38"/>
      <c r="G358" s="47">
        <f t="shared" si="123"/>
        <v>6.5978850116714893E-2</v>
      </c>
      <c r="H358" s="44"/>
      <c r="I358" s="44"/>
      <c r="J358" s="45">
        <f t="shared" si="122"/>
        <v>0</v>
      </c>
      <c r="K358" s="38"/>
      <c r="L358" s="38"/>
      <c r="M358" s="38"/>
      <c r="N358" s="34" t="e">
        <f>VLOOKUP(F358,'GHG Emissions Factors'!$B$2:$C$4000,2,FALSE)</f>
        <v>#N/A</v>
      </c>
      <c r="O358" s="45" t="e">
        <f t="shared" si="124"/>
        <v>#N/A</v>
      </c>
      <c r="P358" s="34">
        <f>IF(L358="yes", 0, _xlfn.XLOOKUP(F358, 'GHG Emissions Factors'!$B$2:$B$4000, 'GHG Emissions Factors'!$D$2:$D$4000, 0))</f>
        <v>0</v>
      </c>
      <c r="Q358" s="46"/>
      <c r="R358" s="46"/>
      <c r="S358" s="46">
        <f>ProcurementAllocationData[[#This Row],[Net MWhs Procured]]-(ProcurementAllocationData[[#This Row],[Deep Green]]+ProcurementAllocationData[[#This Row],[LocalSol]]+ProcurementAllocationData[[#This Row],[GreenAccess]])</f>
        <v>0</v>
      </c>
      <c r="T358" s="46"/>
      <c r="U358" s="46"/>
      <c r="V358" s="46"/>
      <c r="W358" s="46"/>
      <c r="X358" s="46"/>
      <c r="Y358" s="112">
        <f t="shared" si="125"/>
        <v>0</v>
      </c>
      <c r="Z358" s="150">
        <f t="shared" si="126"/>
        <v>0</v>
      </c>
      <c r="AA358" s="150">
        <f t="shared" si="127"/>
        <v>0</v>
      </c>
      <c r="AB358" s="113">
        <f t="shared" si="128"/>
        <v>0</v>
      </c>
      <c r="AC358" s="36"/>
      <c r="AD358" s="272" t="str">
        <f t="shared" si="129"/>
        <v/>
      </c>
      <c r="AE358" s="273">
        <f t="shared" si="130"/>
        <v>0</v>
      </c>
      <c r="AF358" s="273">
        <f t="shared" si="131"/>
        <v>0</v>
      </c>
      <c r="AG358" s="273">
        <f t="shared" si="132"/>
        <v>0</v>
      </c>
      <c r="AH358" s="273">
        <f t="shared" si="133"/>
        <v>0</v>
      </c>
      <c r="AI358" s="273">
        <f t="shared" si="134"/>
        <v>0</v>
      </c>
      <c r="AJ358" s="273">
        <f t="shared" si="135"/>
        <v>0</v>
      </c>
      <c r="AK358" s="273">
        <f t="shared" si="136"/>
        <v>0</v>
      </c>
      <c r="AL358" s="274">
        <f t="shared" si="137"/>
        <v>0</v>
      </c>
      <c r="AN358" s="75" t="str">
        <f t="shared" si="138"/>
        <v>-</v>
      </c>
      <c r="AO358" s="75" t="str">
        <f t="shared" si="139"/>
        <v>-</v>
      </c>
      <c r="AP358" s="48">
        <f t="shared" si="142"/>
        <v>0</v>
      </c>
      <c r="AQ358" s="48">
        <f t="shared" si="140"/>
        <v>0</v>
      </c>
      <c r="AR358" s="49" t="e">
        <f t="shared" si="141"/>
        <v>#N/A</v>
      </c>
    </row>
    <row r="359" spans="1:44" ht="15">
      <c r="A359" s="38"/>
      <c r="B359" s="38"/>
      <c r="C359" s="38"/>
      <c r="D359" s="38"/>
      <c r="E359" s="38"/>
      <c r="F359" s="38"/>
      <c r="G359" s="47">
        <f t="shared" si="123"/>
        <v>6.5978850116714893E-2</v>
      </c>
      <c r="H359" s="44"/>
      <c r="I359" s="44"/>
      <c r="J359" s="45">
        <f t="shared" si="122"/>
        <v>0</v>
      </c>
      <c r="K359" s="38"/>
      <c r="L359" s="38"/>
      <c r="M359" s="38"/>
      <c r="N359" s="34" t="e">
        <f>VLOOKUP(F359,'GHG Emissions Factors'!$B$2:$C$4000,2,FALSE)</f>
        <v>#N/A</v>
      </c>
      <c r="O359" s="45" t="e">
        <f t="shared" si="124"/>
        <v>#N/A</v>
      </c>
      <c r="P359" s="34">
        <f>IF(L359="yes", 0, _xlfn.XLOOKUP(F359, 'GHG Emissions Factors'!$B$2:$B$4000, 'GHG Emissions Factors'!$D$2:$D$4000, 0))</f>
        <v>0</v>
      </c>
      <c r="Q359" s="46"/>
      <c r="R359" s="46"/>
      <c r="S359" s="46">
        <f>ProcurementAllocationData[[#This Row],[Net MWhs Procured]]-(ProcurementAllocationData[[#This Row],[Deep Green]]+ProcurementAllocationData[[#This Row],[LocalSol]]+ProcurementAllocationData[[#This Row],[GreenAccess]])</f>
        <v>0</v>
      </c>
      <c r="T359" s="46"/>
      <c r="U359" s="46"/>
      <c r="V359" s="46"/>
      <c r="W359" s="46"/>
      <c r="X359" s="46"/>
      <c r="Y359" s="112">
        <f t="shared" si="125"/>
        <v>0</v>
      </c>
      <c r="Z359" s="150">
        <f t="shared" si="126"/>
        <v>0</v>
      </c>
      <c r="AA359" s="150">
        <f t="shared" si="127"/>
        <v>0</v>
      </c>
      <c r="AB359" s="113">
        <f t="shared" si="128"/>
        <v>0</v>
      </c>
      <c r="AC359" s="36"/>
      <c r="AD359" s="272" t="str">
        <f t="shared" si="129"/>
        <v/>
      </c>
      <c r="AE359" s="273">
        <f t="shared" si="130"/>
        <v>0</v>
      </c>
      <c r="AF359" s="273">
        <f t="shared" si="131"/>
        <v>0</v>
      </c>
      <c r="AG359" s="273">
        <f t="shared" si="132"/>
        <v>0</v>
      </c>
      <c r="AH359" s="273">
        <f t="shared" si="133"/>
        <v>0</v>
      </c>
      <c r="AI359" s="273">
        <f t="shared" si="134"/>
        <v>0</v>
      </c>
      <c r="AJ359" s="273">
        <f t="shared" si="135"/>
        <v>0</v>
      </c>
      <c r="AK359" s="273">
        <f t="shared" si="136"/>
        <v>0</v>
      </c>
      <c r="AL359" s="274">
        <f t="shared" si="137"/>
        <v>0</v>
      </c>
      <c r="AN359" s="75" t="str">
        <f t="shared" si="138"/>
        <v>-</v>
      </c>
      <c r="AO359" s="75" t="str">
        <f t="shared" si="139"/>
        <v>-</v>
      </c>
      <c r="AP359" s="48">
        <f t="shared" si="142"/>
        <v>0</v>
      </c>
      <c r="AQ359" s="48">
        <f t="shared" si="140"/>
        <v>0</v>
      </c>
      <c r="AR359" s="49" t="e">
        <f t="shared" si="141"/>
        <v>#N/A</v>
      </c>
    </row>
    <row r="360" spans="1:44" ht="15">
      <c r="A360" s="38"/>
      <c r="B360" s="38"/>
      <c r="C360" s="38"/>
      <c r="D360" s="38"/>
      <c r="E360" s="38"/>
      <c r="F360" s="38"/>
      <c r="G360" s="47">
        <f t="shared" si="123"/>
        <v>6.5978850116714893E-2</v>
      </c>
      <c r="H360" s="44"/>
      <c r="I360" s="44"/>
      <c r="J360" s="45">
        <f t="shared" si="122"/>
        <v>0</v>
      </c>
      <c r="K360" s="38"/>
      <c r="L360" s="38"/>
      <c r="M360" s="38"/>
      <c r="N360" s="34" t="e">
        <f>VLOOKUP(F360,'GHG Emissions Factors'!$B$2:$C$4000,2,FALSE)</f>
        <v>#N/A</v>
      </c>
      <c r="O360" s="45" t="e">
        <f t="shared" si="124"/>
        <v>#N/A</v>
      </c>
      <c r="P360" s="34">
        <f>IF(L360="yes", 0, _xlfn.XLOOKUP(F360, 'GHG Emissions Factors'!$B$2:$B$4000, 'GHG Emissions Factors'!$D$2:$D$4000, 0))</f>
        <v>0</v>
      </c>
      <c r="Q360" s="46"/>
      <c r="R360" s="46"/>
      <c r="S360" s="46">
        <f>ProcurementAllocationData[[#This Row],[Net MWhs Procured]]-(ProcurementAllocationData[[#This Row],[Deep Green]]+ProcurementAllocationData[[#This Row],[LocalSol]]+ProcurementAllocationData[[#This Row],[GreenAccess]])</f>
        <v>0</v>
      </c>
      <c r="T360" s="46"/>
      <c r="U360" s="46"/>
      <c r="V360" s="46"/>
      <c r="W360" s="46"/>
      <c r="X360" s="46"/>
      <c r="Y360" s="112">
        <f t="shared" si="125"/>
        <v>0</v>
      </c>
      <c r="Z360" s="150">
        <f t="shared" si="126"/>
        <v>0</v>
      </c>
      <c r="AA360" s="150">
        <f t="shared" si="127"/>
        <v>0</v>
      </c>
      <c r="AB360" s="113">
        <f t="shared" si="128"/>
        <v>0</v>
      </c>
      <c r="AC360" s="36"/>
      <c r="AD360" s="272" t="str">
        <f t="shared" si="129"/>
        <v/>
      </c>
      <c r="AE360" s="273">
        <f t="shared" si="130"/>
        <v>0</v>
      </c>
      <c r="AF360" s="273">
        <f t="shared" si="131"/>
        <v>0</v>
      </c>
      <c r="AG360" s="273">
        <f t="shared" si="132"/>
        <v>0</v>
      </c>
      <c r="AH360" s="273">
        <f t="shared" si="133"/>
        <v>0</v>
      </c>
      <c r="AI360" s="273">
        <f t="shared" si="134"/>
        <v>0</v>
      </c>
      <c r="AJ360" s="273">
        <f t="shared" si="135"/>
        <v>0</v>
      </c>
      <c r="AK360" s="273">
        <f t="shared" si="136"/>
        <v>0</v>
      </c>
      <c r="AL360" s="274">
        <f t="shared" si="137"/>
        <v>0</v>
      </c>
      <c r="AN360" s="75" t="str">
        <f t="shared" si="138"/>
        <v>-</v>
      </c>
      <c r="AO360" s="75" t="str">
        <f t="shared" si="139"/>
        <v>-</v>
      </c>
      <c r="AP360" s="48">
        <f t="shared" si="142"/>
        <v>0</v>
      </c>
      <c r="AQ360" s="48">
        <f t="shared" si="140"/>
        <v>0</v>
      </c>
      <c r="AR360" s="49" t="e">
        <f t="shared" si="141"/>
        <v>#N/A</v>
      </c>
    </row>
    <row r="361" spans="1:44" ht="15">
      <c r="A361" s="38"/>
      <c r="B361" s="38"/>
      <c r="C361" s="38"/>
      <c r="D361" s="38"/>
      <c r="E361" s="38"/>
      <c r="F361" s="38"/>
      <c r="G361" s="47">
        <f t="shared" si="123"/>
        <v>6.5978850116714893E-2</v>
      </c>
      <c r="H361" s="44"/>
      <c r="I361" s="44"/>
      <c r="J361" s="45">
        <f t="shared" si="122"/>
        <v>0</v>
      </c>
      <c r="K361" s="38"/>
      <c r="L361" s="38"/>
      <c r="M361" s="38"/>
      <c r="N361" s="34" t="e">
        <f>VLOOKUP(F361,'GHG Emissions Factors'!$B$2:$C$4000,2,FALSE)</f>
        <v>#N/A</v>
      </c>
      <c r="O361" s="45" t="e">
        <f t="shared" si="124"/>
        <v>#N/A</v>
      </c>
      <c r="P361" s="34">
        <f>IF(L361="yes", 0, _xlfn.XLOOKUP(F361, 'GHG Emissions Factors'!$B$2:$B$4000, 'GHG Emissions Factors'!$D$2:$D$4000, 0))</f>
        <v>0</v>
      </c>
      <c r="Q361" s="46"/>
      <c r="R361" s="46"/>
      <c r="S361" s="46">
        <f>ProcurementAllocationData[[#This Row],[Net MWhs Procured]]-(ProcurementAllocationData[[#This Row],[Deep Green]]+ProcurementAllocationData[[#This Row],[LocalSol]]+ProcurementAllocationData[[#This Row],[GreenAccess]])</f>
        <v>0</v>
      </c>
      <c r="T361" s="46"/>
      <c r="U361" s="46"/>
      <c r="V361" s="46"/>
      <c r="W361" s="46"/>
      <c r="X361" s="46"/>
      <c r="Y361" s="112">
        <f t="shared" si="125"/>
        <v>0</v>
      </c>
      <c r="Z361" s="150">
        <f t="shared" si="126"/>
        <v>0</v>
      </c>
      <c r="AA361" s="150">
        <f t="shared" si="127"/>
        <v>0</v>
      </c>
      <c r="AB361" s="113">
        <f t="shared" si="128"/>
        <v>0</v>
      </c>
      <c r="AC361" s="36"/>
      <c r="AD361" s="272" t="str">
        <f t="shared" si="129"/>
        <v/>
      </c>
      <c r="AE361" s="273">
        <f t="shared" si="130"/>
        <v>0</v>
      </c>
      <c r="AF361" s="273">
        <f t="shared" si="131"/>
        <v>0</v>
      </c>
      <c r="AG361" s="273">
        <f t="shared" si="132"/>
        <v>0</v>
      </c>
      <c r="AH361" s="273">
        <f t="shared" si="133"/>
        <v>0</v>
      </c>
      <c r="AI361" s="273">
        <f t="shared" si="134"/>
        <v>0</v>
      </c>
      <c r="AJ361" s="273">
        <f t="shared" si="135"/>
        <v>0</v>
      </c>
      <c r="AK361" s="273">
        <f t="shared" si="136"/>
        <v>0</v>
      </c>
      <c r="AL361" s="274">
        <f t="shared" si="137"/>
        <v>0</v>
      </c>
      <c r="AN361" s="75" t="str">
        <f t="shared" si="138"/>
        <v>-</v>
      </c>
      <c r="AO361" s="75" t="str">
        <f t="shared" si="139"/>
        <v>-</v>
      </c>
      <c r="AP361" s="48">
        <f t="shared" si="142"/>
        <v>0</v>
      </c>
      <c r="AQ361" s="48">
        <f t="shared" si="140"/>
        <v>0</v>
      </c>
      <c r="AR361" s="49" t="e">
        <f t="shared" si="141"/>
        <v>#N/A</v>
      </c>
    </row>
    <row r="362" spans="1:44" ht="15">
      <c r="A362" s="38"/>
      <c r="B362" s="38"/>
      <c r="C362" s="38"/>
      <c r="D362" s="38"/>
      <c r="E362" s="38"/>
      <c r="F362" s="38"/>
      <c r="G362" s="47">
        <f t="shared" si="123"/>
        <v>6.5978850116714893E-2</v>
      </c>
      <c r="H362" s="44"/>
      <c r="I362" s="44"/>
      <c r="J362" s="45">
        <f t="shared" si="122"/>
        <v>0</v>
      </c>
      <c r="K362" s="38"/>
      <c r="L362" s="38"/>
      <c r="M362" s="38"/>
      <c r="N362" s="34" t="e">
        <f>VLOOKUP(F362,'GHG Emissions Factors'!$B$2:$C$4000,2,FALSE)</f>
        <v>#N/A</v>
      </c>
      <c r="O362" s="45" t="e">
        <f t="shared" si="124"/>
        <v>#N/A</v>
      </c>
      <c r="P362" s="34">
        <f>IF(L362="yes", 0, _xlfn.XLOOKUP(F362, 'GHG Emissions Factors'!$B$2:$B$4000, 'GHG Emissions Factors'!$D$2:$D$4000, 0))</f>
        <v>0</v>
      </c>
      <c r="Q362" s="46"/>
      <c r="R362" s="46"/>
      <c r="S362" s="46">
        <f>ProcurementAllocationData[[#This Row],[Net MWhs Procured]]-(ProcurementAllocationData[[#This Row],[Deep Green]]+ProcurementAllocationData[[#This Row],[LocalSol]]+ProcurementAllocationData[[#This Row],[GreenAccess]])</f>
        <v>0</v>
      </c>
      <c r="T362" s="46"/>
      <c r="U362" s="46"/>
      <c r="V362" s="46"/>
      <c r="W362" s="46"/>
      <c r="X362" s="46"/>
      <c r="Y362" s="112">
        <f t="shared" si="125"/>
        <v>0</v>
      </c>
      <c r="Z362" s="150">
        <f t="shared" si="126"/>
        <v>0</v>
      </c>
      <c r="AA362" s="150">
        <f t="shared" si="127"/>
        <v>0</v>
      </c>
      <c r="AB362" s="113">
        <f t="shared" si="128"/>
        <v>0</v>
      </c>
      <c r="AC362" s="36"/>
      <c r="AD362" s="272" t="str">
        <f t="shared" si="129"/>
        <v/>
      </c>
      <c r="AE362" s="273">
        <f t="shared" si="130"/>
        <v>0</v>
      </c>
      <c r="AF362" s="273">
        <f t="shared" si="131"/>
        <v>0</v>
      </c>
      <c r="AG362" s="273">
        <f t="shared" si="132"/>
        <v>0</v>
      </c>
      <c r="AH362" s="273">
        <f t="shared" si="133"/>
        <v>0</v>
      </c>
      <c r="AI362" s="273">
        <f t="shared" si="134"/>
        <v>0</v>
      </c>
      <c r="AJ362" s="273">
        <f t="shared" si="135"/>
        <v>0</v>
      </c>
      <c r="AK362" s="273">
        <f t="shared" si="136"/>
        <v>0</v>
      </c>
      <c r="AL362" s="274">
        <f t="shared" si="137"/>
        <v>0</v>
      </c>
      <c r="AN362" s="75" t="str">
        <f t="shared" si="138"/>
        <v>-</v>
      </c>
      <c r="AO362" s="75" t="str">
        <f t="shared" si="139"/>
        <v>-</v>
      </c>
      <c r="AP362" s="48">
        <f t="shared" si="142"/>
        <v>0</v>
      </c>
      <c r="AQ362" s="48">
        <f t="shared" si="140"/>
        <v>0</v>
      </c>
      <c r="AR362" s="49" t="e">
        <f t="shared" si="141"/>
        <v>#N/A</v>
      </c>
    </row>
    <row r="363" spans="1:44" ht="15">
      <c r="A363" s="38"/>
      <c r="B363" s="38"/>
      <c r="C363" s="38"/>
      <c r="D363" s="38"/>
      <c r="E363" s="38"/>
      <c r="F363" s="38"/>
      <c r="G363" s="47">
        <f t="shared" si="123"/>
        <v>6.5978850116714893E-2</v>
      </c>
      <c r="H363" s="44"/>
      <c r="I363" s="44"/>
      <c r="J363" s="45">
        <f t="shared" si="122"/>
        <v>0</v>
      </c>
      <c r="K363" s="38"/>
      <c r="L363" s="38"/>
      <c r="M363" s="38"/>
      <c r="N363" s="34" t="e">
        <f>VLOOKUP(F363,'GHG Emissions Factors'!$B$2:$C$4000,2,FALSE)</f>
        <v>#N/A</v>
      </c>
      <c r="O363" s="45" t="e">
        <f t="shared" si="124"/>
        <v>#N/A</v>
      </c>
      <c r="P363" s="34">
        <f>IF(L363="yes", 0, _xlfn.XLOOKUP(F363, 'GHG Emissions Factors'!$B$2:$B$4000, 'GHG Emissions Factors'!$D$2:$D$4000, 0))</f>
        <v>0</v>
      </c>
      <c r="Q363" s="46"/>
      <c r="R363" s="46"/>
      <c r="S363" s="46">
        <f>ProcurementAllocationData[[#This Row],[Net MWhs Procured]]-(ProcurementAllocationData[[#This Row],[Deep Green]]+ProcurementAllocationData[[#This Row],[LocalSol]]+ProcurementAllocationData[[#This Row],[GreenAccess]])</f>
        <v>0</v>
      </c>
      <c r="T363" s="46"/>
      <c r="U363" s="46"/>
      <c r="V363" s="46"/>
      <c r="W363" s="46"/>
      <c r="X363" s="46"/>
      <c r="Y363" s="112">
        <f t="shared" si="125"/>
        <v>0</v>
      </c>
      <c r="Z363" s="150">
        <f t="shared" si="126"/>
        <v>0</v>
      </c>
      <c r="AA363" s="150">
        <f t="shared" si="127"/>
        <v>0</v>
      </c>
      <c r="AB363" s="113">
        <f t="shared" si="128"/>
        <v>0</v>
      </c>
      <c r="AC363" s="36"/>
      <c r="AD363" s="272" t="str">
        <f t="shared" si="129"/>
        <v/>
      </c>
      <c r="AE363" s="273">
        <f t="shared" si="130"/>
        <v>0</v>
      </c>
      <c r="AF363" s="273">
        <f t="shared" si="131"/>
        <v>0</v>
      </c>
      <c r="AG363" s="273">
        <f t="shared" si="132"/>
        <v>0</v>
      </c>
      <c r="AH363" s="273">
        <f t="shared" si="133"/>
        <v>0</v>
      </c>
      <c r="AI363" s="273">
        <f t="shared" si="134"/>
        <v>0</v>
      </c>
      <c r="AJ363" s="273">
        <f t="shared" si="135"/>
        <v>0</v>
      </c>
      <c r="AK363" s="273">
        <f t="shared" si="136"/>
        <v>0</v>
      </c>
      <c r="AL363" s="274">
        <f t="shared" si="137"/>
        <v>0</v>
      </c>
      <c r="AN363" s="75" t="str">
        <f t="shared" si="138"/>
        <v>-</v>
      </c>
      <c r="AO363" s="75" t="str">
        <f t="shared" si="139"/>
        <v>-</v>
      </c>
      <c r="AP363" s="48">
        <f t="shared" si="142"/>
        <v>0</v>
      </c>
      <c r="AQ363" s="48">
        <f t="shared" si="140"/>
        <v>0</v>
      </c>
      <c r="AR363" s="49" t="e">
        <f t="shared" si="141"/>
        <v>#N/A</v>
      </c>
    </row>
    <row r="364" spans="1:44" ht="15">
      <c r="A364" s="38"/>
      <c r="B364" s="38"/>
      <c r="C364" s="38"/>
      <c r="D364" s="38"/>
      <c r="E364" s="38"/>
      <c r="F364" s="38"/>
      <c r="G364" s="47">
        <f t="shared" si="123"/>
        <v>6.5978850116714893E-2</v>
      </c>
      <c r="H364" s="44"/>
      <c r="I364" s="44"/>
      <c r="J364" s="45">
        <f t="shared" si="122"/>
        <v>0</v>
      </c>
      <c r="K364" s="38"/>
      <c r="L364" s="38"/>
      <c r="M364" s="38"/>
      <c r="N364" s="34" t="e">
        <f>VLOOKUP(F364,'GHG Emissions Factors'!$B$2:$C$4000,2,FALSE)</f>
        <v>#N/A</v>
      </c>
      <c r="O364" s="45" t="e">
        <f t="shared" si="124"/>
        <v>#N/A</v>
      </c>
      <c r="P364" s="34">
        <f>IF(L364="yes", 0, _xlfn.XLOOKUP(F364, 'GHG Emissions Factors'!$B$2:$B$4000, 'GHG Emissions Factors'!$D$2:$D$4000, 0))</f>
        <v>0</v>
      </c>
      <c r="Q364" s="46"/>
      <c r="R364" s="46"/>
      <c r="S364" s="46">
        <f>ProcurementAllocationData[[#This Row],[Net MWhs Procured]]-(ProcurementAllocationData[[#This Row],[Deep Green]]+ProcurementAllocationData[[#This Row],[LocalSol]]+ProcurementAllocationData[[#This Row],[GreenAccess]])</f>
        <v>0</v>
      </c>
      <c r="T364" s="46"/>
      <c r="U364" s="46"/>
      <c r="V364" s="46"/>
      <c r="W364" s="46"/>
      <c r="X364" s="46"/>
      <c r="Y364" s="112">
        <f t="shared" si="125"/>
        <v>0</v>
      </c>
      <c r="Z364" s="150">
        <f t="shared" si="126"/>
        <v>0</v>
      </c>
      <c r="AA364" s="150">
        <f t="shared" si="127"/>
        <v>0</v>
      </c>
      <c r="AB364" s="113">
        <f t="shared" si="128"/>
        <v>0</v>
      </c>
      <c r="AC364" s="36"/>
      <c r="AD364" s="272" t="str">
        <f t="shared" si="129"/>
        <v/>
      </c>
      <c r="AE364" s="273">
        <f t="shared" si="130"/>
        <v>0</v>
      </c>
      <c r="AF364" s="273">
        <f t="shared" si="131"/>
        <v>0</v>
      </c>
      <c r="AG364" s="273">
        <f t="shared" si="132"/>
        <v>0</v>
      </c>
      <c r="AH364" s="273">
        <f t="shared" si="133"/>
        <v>0</v>
      </c>
      <c r="AI364" s="273">
        <f t="shared" si="134"/>
        <v>0</v>
      </c>
      <c r="AJ364" s="273">
        <f t="shared" si="135"/>
        <v>0</v>
      </c>
      <c r="AK364" s="273">
        <f t="shared" si="136"/>
        <v>0</v>
      </c>
      <c r="AL364" s="274">
        <f t="shared" si="137"/>
        <v>0</v>
      </c>
      <c r="AN364" s="75" t="str">
        <f t="shared" si="138"/>
        <v>-</v>
      </c>
      <c r="AO364" s="75" t="str">
        <f t="shared" si="139"/>
        <v>-</v>
      </c>
      <c r="AP364" s="48">
        <f t="shared" si="142"/>
        <v>0</v>
      </c>
      <c r="AQ364" s="48">
        <f t="shared" si="140"/>
        <v>0</v>
      </c>
      <c r="AR364" s="49" t="e">
        <f t="shared" si="141"/>
        <v>#N/A</v>
      </c>
    </row>
    <row r="365" spans="1:44" ht="15">
      <c r="A365" s="38"/>
      <c r="B365" s="38"/>
      <c r="C365" s="38"/>
      <c r="D365" s="38"/>
      <c r="E365" s="38"/>
      <c r="F365" s="38"/>
      <c r="G365" s="47">
        <f t="shared" si="123"/>
        <v>6.5978850116714893E-2</v>
      </c>
      <c r="H365" s="44"/>
      <c r="I365" s="44"/>
      <c r="J365" s="45">
        <f t="shared" si="122"/>
        <v>0</v>
      </c>
      <c r="K365" s="38"/>
      <c r="L365" s="38"/>
      <c r="M365" s="38"/>
      <c r="N365" s="34" t="e">
        <f>VLOOKUP(F365,'GHG Emissions Factors'!$B$2:$C$4000,2,FALSE)</f>
        <v>#N/A</v>
      </c>
      <c r="O365" s="45" t="e">
        <f t="shared" si="124"/>
        <v>#N/A</v>
      </c>
      <c r="P365" s="34">
        <f>IF(L365="yes", 0, _xlfn.XLOOKUP(F365, 'GHG Emissions Factors'!$B$2:$B$4000, 'GHG Emissions Factors'!$D$2:$D$4000, 0))</f>
        <v>0</v>
      </c>
      <c r="Q365" s="46"/>
      <c r="R365" s="46"/>
      <c r="S365" s="46">
        <f>ProcurementAllocationData[[#This Row],[Net MWhs Procured]]-(ProcurementAllocationData[[#This Row],[Deep Green]]+ProcurementAllocationData[[#This Row],[LocalSol]]+ProcurementAllocationData[[#This Row],[GreenAccess]])</f>
        <v>0</v>
      </c>
      <c r="T365" s="46"/>
      <c r="U365" s="46"/>
      <c r="V365" s="46"/>
      <c r="W365" s="46"/>
      <c r="X365" s="46"/>
      <c r="Y365" s="112">
        <f t="shared" si="125"/>
        <v>0</v>
      </c>
      <c r="Z365" s="150">
        <f t="shared" si="126"/>
        <v>0</v>
      </c>
      <c r="AA365" s="150">
        <f t="shared" si="127"/>
        <v>0</v>
      </c>
      <c r="AB365" s="113">
        <f t="shared" si="128"/>
        <v>0</v>
      </c>
      <c r="AC365" s="36"/>
      <c r="AD365" s="272" t="str">
        <f t="shared" si="129"/>
        <v/>
      </c>
      <c r="AE365" s="273">
        <f t="shared" si="130"/>
        <v>0</v>
      </c>
      <c r="AF365" s="273">
        <f t="shared" si="131"/>
        <v>0</v>
      </c>
      <c r="AG365" s="273">
        <f t="shared" si="132"/>
        <v>0</v>
      </c>
      <c r="AH365" s="273">
        <f t="shared" si="133"/>
        <v>0</v>
      </c>
      <c r="AI365" s="273">
        <f t="shared" si="134"/>
        <v>0</v>
      </c>
      <c r="AJ365" s="273">
        <f t="shared" si="135"/>
        <v>0</v>
      </c>
      <c r="AK365" s="273">
        <f t="shared" si="136"/>
        <v>0</v>
      </c>
      <c r="AL365" s="274">
        <f t="shared" si="137"/>
        <v>0</v>
      </c>
      <c r="AN365" s="75" t="str">
        <f t="shared" si="138"/>
        <v>-</v>
      </c>
      <c r="AO365" s="75" t="str">
        <f t="shared" si="139"/>
        <v>-</v>
      </c>
      <c r="AP365" s="48">
        <f t="shared" si="142"/>
        <v>0</v>
      </c>
      <c r="AQ365" s="48">
        <f t="shared" si="140"/>
        <v>0</v>
      </c>
      <c r="AR365" s="49" t="e">
        <f t="shared" si="141"/>
        <v>#N/A</v>
      </c>
    </row>
    <row r="366" spans="1:44" ht="15">
      <c r="A366" s="38"/>
      <c r="B366" s="38"/>
      <c r="C366" s="38"/>
      <c r="D366" s="38"/>
      <c r="E366" s="38"/>
      <c r="F366" s="38"/>
      <c r="G366" s="47">
        <f t="shared" si="123"/>
        <v>6.5978850116714893E-2</v>
      </c>
      <c r="H366" s="44"/>
      <c r="I366" s="44"/>
      <c r="J366" s="45">
        <f t="shared" si="122"/>
        <v>0</v>
      </c>
      <c r="K366" s="38"/>
      <c r="L366" s="38"/>
      <c r="M366" s="38"/>
      <c r="N366" s="34" t="e">
        <f>VLOOKUP(F366,'GHG Emissions Factors'!$B$2:$C$4000,2,FALSE)</f>
        <v>#N/A</v>
      </c>
      <c r="O366" s="45" t="e">
        <f t="shared" si="124"/>
        <v>#N/A</v>
      </c>
      <c r="P366" s="34">
        <f>IF(L366="yes", 0, _xlfn.XLOOKUP(F366, 'GHG Emissions Factors'!$B$2:$B$4000, 'GHG Emissions Factors'!$D$2:$D$4000, 0))</f>
        <v>0</v>
      </c>
      <c r="Q366" s="46"/>
      <c r="R366" s="46"/>
      <c r="S366" s="46">
        <f>ProcurementAllocationData[[#This Row],[Net MWhs Procured]]-(ProcurementAllocationData[[#This Row],[Deep Green]]+ProcurementAllocationData[[#This Row],[LocalSol]]+ProcurementAllocationData[[#This Row],[GreenAccess]])</f>
        <v>0</v>
      </c>
      <c r="T366" s="46"/>
      <c r="U366" s="46"/>
      <c r="V366" s="46"/>
      <c r="W366" s="46"/>
      <c r="X366" s="46"/>
      <c r="Y366" s="112">
        <f t="shared" si="125"/>
        <v>0</v>
      </c>
      <c r="Z366" s="150">
        <f t="shared" si="126"/>
        <v>0</v>
      </c>
      <c r="AA366" s="150">
        <f t="shared" si="127"/>
        <v>0</v>
      </c>
      <c r="AB366" s="113">
        <f t="shared" si="128"/>
        <v>0</v>
      </c>
      <c r="AC366" s="36"/>
      <c r="AD366" s="272" t="str">
        <f t="shared" si="129"/>
        <v/>
      </c>
      <c r="AE366" s="273">
        <f t="shared" si="130"/>
        <v>0</v>
      </c>
      <c r="AF366" s="273">
        <f t="shared" si="131"/>
        <v>0</v>
      </c>
      <c r="AG366" s="273">
        <f t="shared" si="132"/>
        <v>0</v>
      </c>
      <c r="AH366" s="273">
        <f t="shared" si="133"/>
        <v>0</v>
      </c>
      <c r="AI366" s="273">
        <f t="shared" si="134"/>
        <v>0</v>
      </c>
      <c r="AJ366" s="273">
        <f t="shared" si="135"/>
        <v>0</v>
      </c>
      <c r="AK366" s="273">
        <f t="shared" si="136"/>
        <v>0</v>
      </c>
      <c r="AL366" s="274">
        <f t="shared" si="137"/>
        <v>0</v>
      </c>
      <c r="AN366" s="75" t="str">
        <f t="shared" si="138"/>
        <v>-</v>
      </c>
      <c r="AO366" s="75" t="str">
        <f t="shared" si="139"/>
        <v>-</v>
      </c>
      <c r="AP366" s="48">
        <f t="shared" si="142"/>
        <v>0</v>
      </c>
      <c r="AQ366" s="48">
        <f t="shared" si="140"/>
        <v>0</v>
      </c>
      <c r="AR366" s="49" t="e">
        <f t="shared" si="141"/>
        <v>#N/A</v>
      </c>
    </row>
    <row r="367" spans="1:44" ht="15">
      <c r="A367" s="38"/>
      <c r="B367" s="38"/>
      <c r="C367" s="38"/>
      <c r="D367" s="38"/>
      <c r="E367" s="38"/>
      <c r="F367" s="38"/>
      <c r="G367" s="47">
        <f t="shared" si="123"/>
        <v>6.5978850116714893E-2</v>
      </c>
      <c r="H367" s="44"/>
      <c r="I367" s="44"/>
      <c r="J367" s="45">
        <f t="shared" si="122"/>
        <v>0</v>
      </c>
      <c r="K367" s="38"/>
      <c r="L367" s="38"/>
      <c r="M367" s="38"/>
      <c r="N367" s="34" t="e">
        <f>VLOOKUP(F367,'GHG Emissions Factors'!$B$2:$C$4000,2,FALSE)</f>
        <v>#N/A</v>
      </c>
      <c r="O367" s="45" t="e">
        <f t="shared" si="124"/>
        <v>#N/A</v>
      </c>
      <c r="P367" s="34">
        <f>IF(L367="yes", 0, _xlfn.XLOOKUP(F367, 'GHG Emissions Factors'!$B$2:$B$4000, 'GHG Emissions Factors'!$D$2:$D$4000, 0))</f>
        <v>0</v>
      </c>
      <c r="Q367" s="46"/>
      <c r="R367" s="46"/>
      <c r="S367" s="46">
        <f>ProcurementAllocationData[[#This Row],[Net MWhs Procured]]-(ProcurementAllocationData[[#This Row],[Deep Green]]+ProcurementAllocationData[[#This Row],[LocalSol]]+ProcurementAllocationData[[#This Row],[GreenAccess]])</f>
        <v>0</v>
      </c>
      <c r="T367" s="46"/>
      <c r="U367" s="46"/>
      <c r="V367" s="46"/>
      <c r="W367" s="46"/>
      <c r="X367" s="46"/>
      <c r="Y367" s="112">
        <f t="shared" si="125"/>
        <v>0</v>
      </c>
      <c r="Z367" s="150">
        <f t="shared" si="126"/>
        <v>0</v>
      </c>
      <c r="AA367" s="150">
        <f t="shared" si="127"/>
        <v>0</v>
      </c>
      <c r="AB367" s="113">
        <f t="shared" si="128"/>
        <v>0</v>
      </c>
      <c r="AC367" s="36"/>
      <c r="AD367" s="272" t="str">
        <f t="shared" si="129"/>
        <v/>
      </c>
      <c r="AE367" s="273">
        <f t="shared" si="130"/>
        <v>0</v>
      </c>
      <c r="AF367" s="273">
        <f t="shared" si="131"/>
        <v>0</v>
      </c>
      <c r="AG367" s="273">
        <f t="shared" si="132"/>
        <v>0</v>
      </c>
      <c r="AH367" s="273">
        <f t="shared" si="133"/>
        <v>0</v>
      </c>
      <c r="AI367" s="273">
        <f t="shared" si="134"/>
        <v>0</v>
      </c>
      <c r="AJ367" s="273">
        <f t="shared" si="135"/>
        <v>0</v>
      </c>
      <c r="AK367" s="273">
        <f t="shared" si="136"/>
        <v>0</v>
      </c>
      <c r="AL367" s="274">
        <f t="shared" si="137"/>
        <v>0</v>
      </c>
      <c r="AN367" s="75" t="str">
        <f t="shared" si="138"/>
        <v>-</v>
      </c>
      <c r="AO367" s="75" t="str">
        <f t="shared" si="139"/>
        <v>-</v>
      </c>
      <c r="AP367" s="48">
        <f t="shared" si="142"/>
        <v>0</v>
      </c>
      <c r="AQ367" s="48">
        <f t="shared" si="140"/>
        <v>0</v>
      </c>
      <c r="AR367" s="49" t="e">
        <f t="shared" si="141"/>
        <v>#N/A</v>
      </c>
    </row>
    <row r="368" spans="1:44" ht="15">
      <c r="A368" s="38"/>
      <c r="B368" s="38"/>
      <c r="C368" s="38"/>
      <c r="D368" s="38"/>
      <c r="E368" s="38"/>
      <c r="F368" s="38"/>
      <c r="G368" s="47">
        <f t="shared" si="123"/>
        <v>6.5978850116714893E-2</v>
      </c>
      <c r="H368" s="44"/>
      <c r="I368" s="44"/>
      <c r="J368" s="45">
        <f t="shared" si="122"/>
        <v>0</v>
      </c>
      <c r="K368" s="38"/>
      <c r="L368" s="38"/>
      <c r="M368" s="38"/>
      <c r="N368" s="34" t="e">
        <f>VLOOKUP(F368,'GHG Emissions Factors'!$B$2:$C$4000,2,FALSE)</f>
        <v>#N/A</v>
      </c>
      <c r="O368" s="45" t="e">
        <f t="shared" si="124"/>
        <v>#N/A</v>
      </c>
      <c r="P368" s="34">
        <f>IF(L368="yes", 0, _xlfn.XLOOKUP(F368, 'GHG Emissions Factors'!$B$2:$B$4000, 'GHG Emissions Factors'!$D$2:$D$4000, 0))</f>
        <v>0</v>
      </c>
      <c r="Q368" s="46"/>
      <c r="R368" s="46"/>
      <c r="S368" s="46">
        <f>ProcurementAllocationData[[#This Row],[Net MWhs Procured]]-(ProcurementAllocationData[[#This Row],[Deep Green]]+ProcurementAllocationData[[#This Row],[LocalSol]]+ProcurementAllocationData[[#This Row],[GreenAccess]])</f>
        <v>0</v>
      </c>
      <c r="T368" s="46"/>
      <c r="U368" s="46"/>
      <c r="V368" s="46"/>
      <c r="W368" s="46"/>
      <c r="X368" s="46"/>
      <c r="Y368" s="112">
        <f t="shared" si="125"/>
        <v>0</v>
      </c>
      <c r="Z368" s="150">
        <f t="shared" si="126"/>
        <v>0</v>
      </c>
      <c r="AA368" s="150">
        <f t="shared" si="127"/>
        <v>0</v>
      </c>
      <c r="AB368" s="113">
        <f t="shared" si="128"/>
        <v>0</v>
      </c>
      <c r="AC368" s="36"/>
      <c r="AD368" s="272" t="str">
        <f t="shared" si="129"/>
        <v/>
      </c>
      <c r="AE368" s="273">
        <f t="shared" si="130"/>
        <v>0</v>
      </c>
      <c r="AF368" s="273">
        <f t="shared" si="131"/>
        <v>0</v>
      </c>
      <c r="AG368" s="273">
        <f t="shared" si="132"/>
        <v>0</v>
      </c>
      <c r="AH368" s="273">
        <f t="shared" si="133"/>
        <v>0</v>
      </c>
      <c r="AI368" s="273">
        <f t="shared" si="134"/>
        <v>0</v>
      </c>
      <c r="AJ368" s="273">
        <f t="shared" si="135"/>
        <v>0</v>
      </c>
      <c r="AK368" s="273">
        <f t="shared" si="136"/>
        <v>0</v>
      </c>
      <c r="AL368" s="274">
        <f t="shared" si="137"/>
        <v>0</v>
      </c>
      <c r="AN368" s="75" t="str">
        <f t="shared" si="138"/>
        <v>-</v>
      </c>
      <c r="AO368" s="75" t="str">
        <f t="shared" si="139"/>
        <v>-</v>
      </c>
      <c r="AP368" s="48">
        <f t="shared" si="142"/>
        <v>0</v>
      </c>
      <c r="AQ368" s="48">
        <f t="shared" si="140"/>
        <v>0</v>
      </c>
      <c r="AR368" s="49" t="e">
        <f t="shared" si="141"/>
        <v>#N/A</v>
      </c>
    </row>
    <row r="369" spans="1:44" ht="15">
      <c r="A369" s="38"/>
      <c r="B369" s="38"/>
      <c r="C369" s="38"/>
      <c r="D369" s="38"/>
      <c r="E369" s="38"/>
      <c r="F369" s="38"/>
      <c r="G369" s="47">
        <f t="shared" si="123"/>
        <v>6.5978850116714893E-2</v>
      </c>
      <c r="H369" s="44"/>
      <c r="I369" s="44"/>
      <c r="J369" s="45">
        <f t="shared" si="122"/>
        <v>0</v>
      </c>
      <c r="K369" s="38"/>
      <c r="L369" s="38"/>
      <c r="M369" s="38"/>
      <c r="N369" s="34" t="e">
        <f>VLOOKUP(F369,'GHG Emissions Factors'!$B$2:$C$4000,2,FALSE)</f>
        <v>#N/A</v>
      </c>
      <c r="O369" s="45" t="e">
        <f t="shared" si="124"/>
        <v>#N/A</v>
      </c>
      <c r="P369" s="34">
        <f>IF(L369="yes", 0, _xlfn.XLOOKUP(F369, 'GHG Emissions Factors'!$B$2:$B$4000, 'GHG Emissions Factors'!$D$2:$D$4000, 0))</f>
        <v>0</v>
      </c>
      <c r="Q369" s="46"/>
      <c r="R369" s="46"/>
      <c r="S369" s="46">
        <f>ProcurementAllocationData[[#This Row],[Net MWhs Procured]]-(ProcurementAllocationData[[#This Row],[Deep Green]]+ProcurementAllocationData[[#This Row],[LocalSol]]+ProcurementAllocationData[[#This Row],[GreenAccess]])</f>
        <v>0</v>
      </c>
      <c r="T369" s="46"/>
      <c r="U369" s="46"/>
      <c r="V369" s="46"/>
      <c r="W369" s="46"/>
      <c r="X369" s="46"/>
      <c r="Y369" s="112">
        <f t="shared" si="125"/>
        <v>0</v>
      </c>
      <c r="Z369" s="150">
        <f t="shared" si="126"/>
        <v>0</v>
      </c>
      <c r="AA369" s="150">
        <f t="shared" si="127"/>
        <v>0</v>
      </c>
      <c r="AB369" s="113">
        <f t="shared" si="128"/>
        <v>0</v>
      </c>
      <c r="AC369" s="36"/>
      <c r="AD369" s="272" t="str">
        <f t="shared" si="129"/>
        <v/>
      </c>
      <c r="AE369" s="273">
        <f t="shared" si="130"/>
        <v>0</v>
      </c>
      <c r="AF369" s="273">
        <f t="shared" si="131"/>
        <v>0</v>
      </c>
      <c r="AG369" s="273">
        <f t="shared" si="132"/>
        <v>0</v>
      </c>
      <c r="AH369" s="273">
        <f t="shared" si="133"/>
        <v>0</v>
      </c>
      <c r="AI369" s="273">
        <f t="shared" si="134"/>
        <v>0</v>
      </c>
      <c r="AJ369" s="273">
        <f t="shared" si="135"/>
        <v>0</v>
      </c>
      <c r="AK369" s="273">
        <f t="shared" si="136"/>
        <v>0</v>
      </c>
      <c r="AL369" s="274">
        <f t="shared" si="137"/>
        <v>0</v>
      </c>
      <c r="AN369" s="75" t="str">
        <f t="shared" si="138"/>
        <v>-</v>
      </c>
      <c r="AO369" s="75" t="str">
        <f t="shared" si="139"/>
        <v>-</v>
      </c>
      <c r="AP369" s="48">
        <f t="shared" si="142"/>
        <v>0</v>
      </c>
      <c r="AQ369" s="48">
        <f t="shared" si="140"/>
        <v>0</v>
      </c>
      <c r="AR369" s="49" t="e">
        <f t="shared" si="141"/>
        <v>#N/A</v>
      </c>
    </row>
    <row r="370" spans="1:44" ht="15">
      <c r="A370" s="38"/>
      <c r="B370" s="38"/>
      <c r="C370" s="38"/>
      <c r="D370" s="38"/>
      <c r="E370" s="38"/>
      <c r="F370" s="38"/>
      <c r="G370" s="47">
        <f t="shared" si="123"/>
        <v>6.5978850116714893E-2</v>
      </c>
      <c r="H370" s="44"/>
      <c r="I370" s="44"/>
      <c r="J370" s="45">
        <f t="shared" si="122"/>
        <v>0</v>
      </c>
      <c r="K370" s="38"/>
      <c r="L370" s="38"/>
      <c r="M370" s="38"/>
      <c r="N370" s="34" t="e">
        <f>VLOOKUP(F370,'GHG Emissions Factors'!$B$2:$C$4000,2,FALSE)</f>
        <v>#N/A</v>
      </c>
      <c r="O370" s="45" t="e">
        <f t="shared" si="124"/>
        <v>#N/A</v>
      </c>
      <c r="P370" s="34">
        <f>IF(L370="yes", 0, _xlfn.XLOOKUP(F370, 'GHG Emissions Factors'!$B$2:$B$4000, 'GHG Emissions Factors'!$D$2:$D$4000, 0))</f>
        <v>0</v>
      </c>
      <c r="Q370" s="46"/>
      <c r="R370" s="46"/>
      <c r="S370" s="46">
        <f>ProcurementAllocationData[[#This Row],[Net MWhs Procured]]-(ProcurementAllocationData[[#This Row],[Deep Green]]+ProcurementAllocationData[[#This Row],[LocalSol]]+ProcurementAllocationData[[#This Row],[GreenAccess]])</f>
        <v>0</v>
      </c>
      <c r="T370" s="46"/>
      <c r="U370" s="46"/>
      <c r="V370" s="46"/>
      <c r="W370" s="46"/>
      <c r="X370" s="46"/>
      <c r="Y370" s="112">
        <f t="shared" si="125"/>
        <v>0</v>
      </c>
      <c r="Z370" s="150">
        <f t="shared" si="126"/>
        <v>0</v>
      </c>
      <c r="AA370" s="150">
        <f t="shared" si="127"/>
        <v>0</v>
      </c>
      <c r="AB370" s="113">
        <f t="shared" si="128"/>
        <v>0</v>
      </c>
      <c r="AC370" s="36"/>
      <c r="AD370" s="272" t="str">
        <f t="shared" si="129"/>
        <v/>
      </c>
      <c r="AE370" s="273">
        <f t="shared" si="130"/>
        <v>0</v>
      </c>
      <c r="AF370" s="273">
        <f t="shared" si="131"/>
        <v>0</v>
      </c>
      <c r="AG370" s="273">
        <f t="shared" si="132"/>
        <v>0</v>
      </c>
      <c r="AH370" s="273">
        <f t="shared" si="133"/>
        <v>0</v>
      </c>
      <c r="AI370" s="273">
        <f t="shared" si="134"/>
        <v>0</v>
      </c>
      <c r="AJ370" s="273">
        <f t="shared" si="135"/>
        <v>0</v>
      </c>
      <c r="AK370" s="273">
        <f t="shared" si="136"/>
        <v>0</v>
      </c>
      <c r="AL370" s="274">
        <f t="shared" si="137"/>
        <v>0</v>
      </c>
      <c r="AN370" s="75" t="str">
        <f t="shared" si="138"/>
        <v>-</v>
      </c>
      <c r="AO370" s="75" t="str">
        <f t="shared" si="139"/>
        <v>-</v>
      </c>
      <c r="AP370" s="48">
        <f t="shared" si="142"/>
        <v>0</v>
      </c>
      <c r="AQ370" s="48">
        <f t="shared" si="140"/>
        <v>0</v>
      </c>
      <c r="AR370" s="49" t="e">
        <f t="shared" si="141"/>
        <v>#N/A</v>
      </c>
    </row>
    <row r="371" spans="1:44" ht="15">
      <c r="A371" s="38"/>
      <c r="B371" s="38"/>
      <c r="C371" s="38"/>
      <c r="D371" s="38"/>
      <c r="E371" s="38"/>
      <c r="F371" s="38"/>
      <c r="G371" s="47">
        <f t="shared" si="123"/>
        <v>6.5978850116714893E-2</v>
      </c>
      <c r="H371" s="44"/>
      <c r="I371" s="44"/>
      <c r="J371" s="45">
        <f t="shared" si="122"/>
        <v>0</v>
      </c>
      <c r="K371" s="38"/>
      <c r="L371" s="38"/>
      <c r="M371" s="38"/>
      <c r="N371" s="34" t="e">
        <f>VLOOKUP(F371,'GHG Emissions Factors'!$B$2:$C$4000,2,FALSE)</f>
        <v>#N/A</v>
      </c>
      <c r="O371" s="45" t="e">
        <f t="shared" si="124"/>
        <v>#N/A</v>
      </c>
      <c r="P371" s="34">
        <f>IF(L371="yes", 0, _xlfn.XLOOKUP(F371, 'GHG Emissions Factors'!$B$2:$B$4000, 'GHG Emissions Factors'!$D$2:$D$4000, 0))</f>
        <v>0</v>
      </c>
      <c r="Q371" s="46"/>
      <c r="R371" s="46"/>
      <c r="S371" s="46">
        <f>ProcurementAllocationData[[#This Row],[Net MWhs Procured]]-(ProcurementAllocationData[[#This Row],[Deep Green]]+ProcurementAllocationData[[#This Row],[LocalSol]]+ProcurementAllocationData[[#This Row],[GreenAccess]])</f>
        <v>0</v>
      </c>
      <c r="T371" s="46"/>
      <c r="U371" s="46"/>
      <c r="V371" s="46"/>
      <c r="W371" s="46"/>
      <c r="X371" s="46"/>
      <c r="Y371" s="112">
        <f t="shared" si="125"/>
        <v>0</v>
      </c>
      <c r="Z371" s="150">
        <f t="shared" si="126"/>
        <v>0</v>
      </c>
      <c r="AA371" s="150">
        <f t="shared" si="127"/>
        <v>0</v>
      </c>
      <c r="AB371" s="113">
        <f t="shared" si="128"/>
        <v>0</v>
      </c>
      <c r="AC371" s="36"/>
      <c r="AD371" s="272" t="str">
        <f t="shared" si="129"/>
        <v/>
      </c>
      <c r="AE371" s="273">
        <f t="shared" si="130"/>
        <v>0</v>
      </c>
      <c r="AF371" s="273">
        <f t="shared" si="131"/>
        <v>0</v>
      </c>
      <c r="AG371" s="273">
        <f t="shared" si="132"/>
        <v>0</v>
      </c>
      <c r="AH371" s="273">
        <f t="shared" si="133"/>
        <v>0</v>
      </c>
      <c r="AI371" s="273">
        <f t="shared" si="134"/>
        <v>0</v>
      </c>
      <c r="AJ371" s="273">
        <f t="shared" si="135"/>
        <v>0</v>
      </c>
      <c r="AK371" s="273">
        <f t="shared" si="136"/>
        <v>0</v>
      </c>
      <c r="AL371" s="274">
        <f t="shared" si="137"/>
        <v>0</v>
      </c>
      <c r="AN371" s="75" t="str">
        <f t="shared" si="138"/>
        <v>-</v>
      </c>
      <c r="AO371" s="75" t="str">
        <f t="shared" si="139"/>
        <v>-</v>
      </c>
      <c r="AP371" s="48">
        <f t="shared" si="142"/>
        <v>0</v>
      </c>
      <c r="AQ371" s="48">
        <f t="shared" si="140"/>
        <v>0</v>
      </c>
      <c r="AR371" s="49" t="e">
        <f t="shared" si="141"/>
        <v>#N/A</v>
      </c>
    </row>
    <row r="372" spans="1:44" ht="15">
      <c r="A372" s="38"/>
      <c r="B372" s="38"/>
      <c r="C372" s="38"/>
      <c r="D372" s="38"/>
      <c r="E372" s="38"/>
      <c r="F372" s="38"/>
      <c r="G372" s="47">
        <f t="shared" si="123"/>
        <v>6.5978850116714893E-2</v>
      </c>
      <c r="H372" s="44"/>
      <c r="I372" s="44"/>
      <c r="J372" s="45">
        <f t="shared" ref="J372:J435" si="143">H372-I372</f>
        <v>0</v>
      </c>
      <c r="K372" s="38"/>
      <c r="L372" s="38"/>
      <c r="M372" s="38"/>
      <c r="N372" s="34" t="e">
        <f>VLOOKUP(F372,'GHG Emissions Factors'!$B$2:$C$4000,2,FALSE)</f>
        <v>#N/A</v>
      </c>
      <c r="O372" s="45" t="e">
        <f t="shared" si="124"/>
        <v>#N/A</v>
      </c>
      <c r="P372" s="34">
        <f>IF(L372="yes", 0, _xlfn.XLOOKUP(F372, 'GHG Emissions Factors'!$B$2:$B$4000, 'GHG Emissions Factors'!$D$2:$D$4000, 0))</f>
        <v>0</v>
      </c>
      <c r="Q372" s="46"/>
      <c r="R372" s="46"/>
      <c r="S372" s="46">
        <f>ProcurementAllocationData[[#This Row],[Net MWhs Procured]]-(ProcurementAllocationData[[#This Row],[Deep Green]]+ProcurementAllocationData[[#This Row],[LocalSol]]+ProcurementAllocationData[[#This Row],[GreenAccess]])</f>
        <v>0</v>
      </c>
      <c r="T372" s="46"/>
      <c r="U372" s="46"/>
      <c r="V372" s="46"/>
      <c r="W372" s="46"/>
      <c r="X372" s="46"/>
      <c r="Y372" s="112">
        <f t="shared" si="125"/>
        <v>0</v>
      </c>
      <c r="Z372" s="150">
        <f t="shared" si="126"/>
        <v>0</v>
      </c>
      <c r="AA372" s="150">
        <f t="shared" si="127"/>
        <v>0</v>
      </c>
      <c r="AB372" s="113">
        <f t="shared" si="128"/>
        <v>0</v>
      </c>
      <c r="AC372" s="36"/>
      <c r="AD372" s="272" t="str">
        <f t="shared" si="129"/>
        <v/>
      </c>
      <c r="AE372" s="273">
        <f t="shared" si="130"/>
        <v>0</v>
      </c>
      <c r="AF372" s="273">
        <f t="shared" si="131"/>
        <v>0</v>
      </c>
      <c r="AG372" s="273">
        <f t="shared" si="132"/>
        <v>0</v>
      </c>
      <c r="AH372" s="273">
        <f t="shared" si="133"/>
        <v>0</v>
      </c>
      <c r="AI372" s="273">
        <f t="shared" si="134"/>
        <v>0</v>
      </c>
      <c r="AJ372" s="273">
        <f t="shared" si="135"/>
        <v>0</v>
      </c>
      <c r="AK372" s="273">
        <f t="shared" si="136"/>
        <v>0</v>
      </c>
      <c r="AL372" s="274">
        <f t="shared" si="137"/>
        <v>0</v>
      </c>
      <c r="AN372" s="75" t="str">
        <f t="shared" si="138"/>
        <v>-</v>
      </c>
      <c r="AO372" s="75" t="str">
        <f t="shared" si="139"/>
        <v>-</v>
      </c>
      <c r="AP372" s="48">
        <f t="shared" si="142"/>
        <v>0</v>
      </c>
      <c r="AQ372" s="48">
        <f t="shared" si="140"/>
        <v>0</v>
      </c>
      <c r="AR372" s="49" t="e">
        <f t="shared" si="141"/>
        <v>#N/A</v>
      </c>
    </row>
    <row r="373" spans="1:44" ht="15">
      <c r="A373" s="38"/>
      <c r="B373" s="38"/>
      <c r="C373" s="38"/>
      <c r="D373" s="38"/>
      <c r="E373" s="38"/>
      <c r="F373" s="38"/>
      <c r="G373" s="47">
        <f t="shared" si="123"/>
        <v>6.5978850116714893E-2</v>
      </c>
      <c r="H373" s="44"/>
      <c r="I373" s="44"/>
      <c r="J373" s="45">
        <f t="shared" si="143"/>
        <v>0</v>
      </c>
      <c r="K373" s="38"/>
      <c r="L373" s="38"/>
      <c r="M373" s="38"/>
      <c r="N373" s="34" t="e">
        <f>VLOOKUP(F373,'GHG Emissions Factors'!$B$2:$C$4000,2,FALSE)</f>
        <v>#N/A</v>
      </c>
      <c r="O373" s="45" t="e">
        <f t="shared" si="124"/>
        <v>#N/A</v>
      </c>
      <c r="P373" s="34">
        <f>IF(L373="yes", 0, _xlfn.XLOOKUP(F373, 'GHG Emissions Factors'!$B$2:$B$4000, 'GHG Emissions Factors'!$D$2:$D$4000, 0))</f>
        <v>0</v>
      </c>
      <c r="Q373" s="46"/>
      <c r="R373" s="46"/>
      <c r="S373" s="46">
        <f>ProcurementAllocationData[[#This Row],[Net MWhs Procured]]-(ProcurementAllocationData[[#This Row],[Deep Green]]+ProcurementAllocationData[[#This Row],[LocalSol]]+ProcurementAllocationData[[#This Row],[GreenAccess]])</f>
        <v>0</v>
      </c>
      <c r="T373" s="46"/>
      <c r="U373" s="46"/>
      <c r="V373" s="46"/>
      <c r="W373" s="46"/>
      <c r="X373" s="46"/>
      <c r="Y373" s="112">
        <f t="shared" si="125"/>
        <v>0</v>
      </c>
      <c r="Z373" s="150">
        <f t="shared" si="126"/>
        <v>0</v>
      </c>
      <c r="AA373" s="150">
        <f t="shared" si="127"/>
        <v>0</v>
      </c>
      <c r="AB373" s="113">
        <f t="shared" si="128"/>
        <v>0</v>
      </c>
      <c r="AC373" s="36"/>
      <c r="AD373" s="272" t="str">
        <f t="shared" si="129"/>
        <v/>
      </c>
      <c r="AE373" s="273">
        <f t="shared" si="130"/>
        <v>0</v>
      </c>
      <c r="AF373" s="273">
        <f t="shared" si="131"/>
        <v>0</v>
      </c>
      <c r="AG373" s="273">
        <f t="shared" si="132"/>
        <v>0</v>
      </c>
      <c r="AH373" s="273">
        <f t="shared" si="133"/>
        <v>0</v>
      </c>
      <c r="AI373" s="273">
        <f t="shared" si="134"/>
        <v>0</v>
      </c>
      <c r="AJ373" s="273">
        <f t="shared" si="135"/>
        <v>0</v>
      </c>
      <c r="AK373" s="273">
        <f t="shared" si="136"/>
        <v>0</v>
      </c>
      <c r="AL373" s="274">
        <f t="shared" si="137"/>
        <v>0</v>
      </c>
      <c r="AN373" s="75" t="str">
        <f t="shared" si="138"/>
        <v>-</v>
      </c>
      <c r="AO373" s="75" t="str">
        <f t="shared" si="139"/>
        <v>-</v>
      </c>
      <c r="AP373" s="48">
        <f t="shared" si="142"/>
        <v>0</v>
      </c>
      <c r="AQ373" s="48">
        <f t="shared" si="140"/>
        <v>0</v>
      </c>
      <c r="AR373" s="49" t="e">
        <f t="shared" si="141"/>
        <v>#N/A</v>
      </c>
    </row>
    <row r="374" spans="1:44" ht="15">
      <c r="A374" s="38"/>
      <c r="B374" s="38"/>
      <c r="C374" s="38"/>
      <c r="D374" s="38"/>
      <c r="E374" s="38"/>
      <c r="F374" s="38"/>
      <c r="G374" s="47">
        <f t="shared" si="123"/>
        <v>6.5978850116714893E-2</v>
      </c>
      <c r="H374" s="44"/>
      <c r="I374" s="44"/>
      <c r="J374" s="45">
        <f t="shared" si="143"/>
        <v>0</v>
      </c>
      <c r="K374" s="38"/>
      <c r="L374" s="38"/>
      <c r="M374" s="38"/>
      <c r="N374" s="34" t="e">
        <f>VLOOKUP(F374,'GHG Emissions Factors'!$B$2:$C$4000,2,FALSE)</f>
        <v>#N/A</v>
      </c>
      <c r="O374" s="45" t="e">
        <f t="shared" si="124"/>
        <v>#N/A</v>
      </c>
      <c r="P374" s="34">
        <f>IF(L374="yes", 0, _xlfn.XLOOKUP(F374, 'GHG Emissions Factors'!$B$2:$B$4000, 'GHG Emissions Factors'!$D$2:$D$4000, 0))</f>
        <v>0</v>
      </c>
      <c r="Q374" s="46"/>
      <c r="R374" s="46"/>
      <c r="S374" s="46">
        <f>ProcurementAllocationData[[#This Row],[Net MWhs Procured]]-(ProcurementAllocationData[[#This Row],[Deep Green]]+ProcurementAllocationData[[#This Row],[LocalSol]]+ProcurementAllocationData[[#This Row],[GreenAccess]])</f>
        <v>0</v>
      </c>
      <c r="T374" s="46"/>
      <c r="U374" s="46"/>
      <c r="V374" s="46"/>
      <c r="W374" s="46"/>
      <c r="X374" s="46"/>
      <c r="Y374" s="112">
        <f t="shared" si="125"/>
        <v>0</v>
      </c>
      <c r="Z374" s="150">
        <f t="shared" si="126"/>
        <v>0</v>
      </c>
      <c r="AA374" s="150">
        <f t="shared" si="127"/>
        <v>0</v>
      </c>
      <c r="AB374" s="113">
        <f t="shared" si="128"/>
        <v>0</v>
      </c>
      <c r="AC374" s="36"/>
      <c r="AD374" s="272" t="str">
        <f t="shared" si="129"/>
        <v/>
      </c>
      <c r="AE374" s="273">
        <f t="shared" si="130"/>
        <v>0</v>
      </c>
      <c r="AF374" s="273">
        <f t="shared" si="131"/>
        <v>0</v>
      </c>
      <c r="AG374" s="273">
        <f t="shared" si="132"/>
        <v>0</v>
      </c>
      <c r="AH374" s="273">
        <f t="shared" si="133"/>
        <v>0</v>
      </c>
      <c r="AI374" s="273">
        <f t="shared" si="134"/>
        <v>0</v>
      </c>
      <c r="AJ374" s="273">
        <f t="shared" si="135"/>
        <v>0</v>
      </c>
      <c r="AK374" s="273">
        <f t="shared" si="136"/>
        <v>0</v>
      </c>
      <c r="AL374" s="274">
        <f t="shared" si="137"/>
        <v>0</v>
      </c>
      <c r="AN374" s="75" t="str">
        <f t="shared" si="138"/>
        <v>-</v>
      </c>
      <c r="AO374" s="75" t="str">
        <f t="shared" si="139"/>
        <v>-</v>
      </c>
      <c r="AP374" s="48">
        <f t="shared" si="142"/>
        <v>0</v>
      </c>
      <c r="AQ374" s="48">
        <f t="shared" si="140"/>
        <v>0</v>
      </c>
      <c r="AR374" s="49" t="e">
        <f t="shared" si="141"/>
        <v>#N/A</v>
      </c>
    </row>
    <row r="375" spans="1:44" ht="15">
      <c r="A375" s="38"/>
      <c r="B375" s="38"/>
      <c r="C375" s="38"/>
      <c r="D375" s="38"/>
      <c r="E375" s="38"/>
      <c r="F375" s="38"/>
      <c r="G375" s="47">
        <f t="shared" si="123"/>
        <v>6.5978850116714893E-2</v>
      </c>
      <c r="H375" s="44"/>
      <c r="I375" s="44"/>
      <c r="J375" s="45">
        <f t="shared" si="143"/>
        <v>0</v>
      </c>
      <c r="K375" s="38"/>
      <c r="L375" s="38"/>
      <c r="M375" s="38"/>
      <c r="N375" s="34" t="e">
        <f>VLOOKUP(F375,'GHG Emissions Factors'!$B$2:$C$4000,2,FALSE)</f>
        <v>#N/A</v>
      </c>
      <c r="O375" s="45" t="e">
        <f t="shared" si="124"/>
        <v>#N/A</v>
      </c>
      <c r="P375" s="34">
        <f>IF(L375="yes", 0, _xlfn.XLOOKUP(F375, 'GHG Emissions Factors'!$B$2:$B$4000, 'GHG Emissions Factors'!$D$2:$D$4000, 0))</f>
        <v>0</v>
      </c>
      <c r="Q375" s="46"/>
      <c r="R375" s="46"/>
      <c r="S375" s="46">
        <f>ProcurementAllocationData[[#This Row],[Net MWhs Procured]]-(ProcurementAllocationData[[#This Row],[Deep Green]]+ProcurementAllocationData[[#This Row],[LocalSol]]+ProcurementAllocationData[[#This Row],[GreenAccess]])</f>
        <v>0</v>
      </c>
      <c r="T375" s="46"/>
      <c r="U375" s="46"/>
      <c r="V375" s="46"/>
      <c r="W375" s="46"/>
      <c r="X375" s="46"/>
      <c r="Y375" s="112">
        <f t="shared" si="125"/>
        <v>0</v>
      </c>
      <c r="Z375" s="150">
        <f t="shared" si="126"/>
        <v>0</v>
      </c>
      <c r="AA375" s="150">
        <f t="shared" si="127"/>
        <v>0</v>
      </c>
      <c r="AB375" s="113">
        <f t="shared" si="128"/>
        <v>0</v>
      </c>
      <c r="AC375" s="36"/>
      <c r="AD375" s="272" t="str">
        <f t="shared" si="129"/>
        <v/>
      </c>
      <c r="AE375" s="273">
        <f t="shared" si="130"/>
        <v>0</v>
      </c>
      <c r="AF375" s="273">
        <f t="shared" si="131"/>
        <v>0</v>
      </c>
      <c r="AG375" s="273">
        <f t="shared" si="132"/>
        <v>0</v>
      </c>
      <c r="AH375" s="273">
        <f t="shared" si="133"/>
        <v>0</v>
      </c>
      <c r="AI375" s="273">
        <f t="shared" si="134"/>
        <v>0</v>
      </c>
      <c r="AJ375" s="273">
        <f t="shared" si="135"/>
        <v>0</v>
      </c>
      <c r="AK375" s="273">
        <f t="shared" si="136"/>
        <v>0</v>
      </c>
      <c r="AL375" s="274">
        <f t="shared" si="137"/>
        <v>0</v>
      </c>
      <c r="AN375" s="75" t="str">
        <f t="shared" si="138"/>
        <v>-</v>
      </c>
      <c r="AO375" s="75" t="str">
        <f t="shared" si="139"/>
        <v>-</v>
      </c>
      <c r="AP375" s="48">
        <f t="shared" si="142"/>
        <v>0</v>
      </c>
      <c r="AQ375" s="48">
        <f t="shared" si="140"/>
        <v>0</v>
      </c>
      <c r="AR375" s="49" t="e">
        <f t="shared" si="141"/>
        <v>#N/A</v>
      </c>
    </row>
    <row r="376" spans="1:44" ht="15">
      <c r="A376" s="38"/>
      <c r="B376" s="38"/>
      <c r="C376" s="38"/>
      <c r="D376" s="38"/>
      <c r="E376" s="38"/>
      <c r="F376" s="38"/>
      <c r="G376" s="47">
        <f t="shared" si="123"/>
        <v>6.5978850116714893E-2</v>
      </c>
      <c r="H376" s="44"/>
      <c r="I376" s="44"/>
      <c r="J376" s="45">
        <f t="shared" si="143"/>
        <v>0</v>
      </c>
      <c r="K376" s="38"/>
      <c r="L376" s="38"/>
      <c r="M376" s="38"/>
      <c r="N376" s="34" t="e">
        <f>VLOOKUP(F376,'GHG Emissions Factors'!$B$2:$C$4000,2,FALSE)</f>
        <v>#N/A</v>
      </c>
      <c r="O376" s="45" t="e">
        <f t="shared" si="124"/>
        <v>#N/A</v>
      </c>
      <c r="P376" s="34">
        <f>IF(L376="yes", 0, _xlfn.XLOOKUP(F376, 'GHG Emissions Factors'!$B$2:$B$4000, 'GHG Emissions Factors'!$D$2:$D$4000, 0))</f>
        <v>0</v>
      </c>
      <c r="Q376" s="46"/>
      <c r="R376" s="46"/>
      <c r="S376" s="46">
        <f>ProcurementAllocationData[[#This Row],[Net MWhs Procured]]-(ProcurementAllocationData[[#This Row],[Deep Green]]+ProcurementAllocationData[[#This Row],[LocalSol]]+ProcurementAllocationData[[#This Row],[GreenAccess]])</f>
        <v>0</v>
      </c>
      <c r="T376" s="46"/>
      <c r="U376" s="46"/>
      <c r="V376" s="46"/>
      <c r="W376" s="46"/>
      <c r="X376" s="46"/>
      <c r="Y376" s="112">
        <f t="shared" si="125"/>
        <v>0</v>
      </c>
      <c r="Z376" s="150">
        <f t="shared" si="126"/>
        <v>0</v>
      </c>
      <c r="AA376" s="150">
        <f t="shared" si="127"/>
        <v>0</v>
      </c>
      <c r="AB376" s="113">
        <f t="shared" si="128"/>
        <v>0</v>
      </c>
      <c r="AC376" s="36"/>
      <c r="AD376" s="272" t="str">
        <f t="shared" si="129"/>
        <v/>
      </c>
      <c r="AE376" s="273">
        <f t="shared" si="130"/>
        <v>0</v>
      </c>
      <c r="AF376" s="273">
        <f t="shared" si="131"/>
        <v>0</v>
      </c>
      <c r="AG376" s="273">
        <f t="shared" si="132"/>
        <v>0</v>
      </c>
      <c r="AH376" s="273">
        <f t="shared" si="133"/>
        <v>0</v>
      </c>
      <c r="AI376" s="273">
        <f t="shared" si="134"/>
        <v>0</v>
      </c>
      <c r="AJ376" s="273">
        <f t="shared" si="135"/>
        <v>0</v>
      </c>
      <c r="AK376" s="273">
        <f t="shared" si="136"/>
        <v>0</v>
      </c>
      <c r="AL376" s="274">
        <f t="shared" si="137"/>
        <v>0</v>
      </c>
      <c r="AN376" s="75" t="str">
        <f t="shared" si="138"/>
        <v>-</v>
      </c>
      <c r="AO376" s="75" t="str">
        <f t="shared" si="139"/>
        <v>-</v>
      </c>
      <c r="AP376" s="48">
        <f t="shared" si="142"/>
        <v>0</v>
      </c>
      <c r="AQ376" s="48">
        <f t="shared" si="140"/>
        <v>0</v>
      </c>
      <c r="AR376" s="49" t="e">
        <f t="shared" si="141"/>
        <v>#N/A</v>
      </c>
    </row>
    <row r="377" spans="1:44" ht="15">
      <c r="A377" s="38"/>
      <c r="B377" s="38"/>
      <c r="C377" s="38"/>
      <c r="D377" s="38"/>
      <c r="E377" s="38"/>
      <c r="F377" s="38"/>
      <c r="G377" s="47">
        <f t="shared" si="123"/>
        <v>6.5978850116714893E-2</v>
      </c>
      <c r="H377" s="44"/>
      <c r="I377" s="44"/>
      <c r="J377" s="45">
        <f t="shared" si="143"/>
        <v>0</v>
      </c>
      <c r="K377" s="38"/>
      <c r="L377" s="38"/>
      <c r="M377" s="38"/>
      <c r="N377" s="34" t="e">
        <f>VLOOKUP(F377,'GHG Emissions Factors'!$B$2:$C$4000,2,FALSE)</f>
        <v>#N/A</v>
      </c>
      <c r="O377" s="45" t="e">
        <f t="shared" si="124"/>
        <v>#N/A</v>
      </c>
      <c r="P377" s="34">
        <f>IF(L377="yes", 0, _xlfn.XLOOKUP(F377, 'GHG Emissions Factors'!$B$2:$B$4000, 'GHG Emissions Factors'!$D$2:$D$4000, 0))</f>
        <v>0</v>
      </c>
      <c r="Q377" s="46"/>
      <c r="R377" s="46"/>
      <c r="S377" s="46">
        <f>ProcurementAllocationData[[#This Row],[Net MWhs Procured]]-(ProcurementAllocationData[[#This Row],[Deep Green]]+ProcurementAllocationData[[#This Row],[LocalSol]]+ProcurementAllocationData[[#This Row],[GreenAccess]])</f>
        <v>0</v>
      </c>
      <c r="T377" s="46"/>
      <c r="U377" s="46"/>
      <c r="V377" s="46"/>
      <c r="W377" s="46"/>
      <c r="X377" s="46"/>
      <c r="Y377" s="112">
        <f t="shared" si="125"/>
        <v>0</v>
      </c>
      <c r="Z377" s="150">
        <f t="shared" si="126"/>
        <v>0</v>
      </c>
      <c r="AA377" s="150">
        <f t="shared" si="127"/>
        <v>0</v>
      </c>
      <c r="AB377" s="113">
        <f t="shared" si="128"/>
        <v>0</v>
      </c>
      <c r="AC377" s="36"/>
      <c r="AD377" s="272" t="str">
        <f t="shared" si="129"/>
        <v/>
      </c>
      <c r="AE377" s="273">
        <f t="shared" si="130"/>
        <v>0</v>
      </c>
      <c r="AF377" s="273">
        <f t="shared" si="131"/>
        <v>0</v>
      </c>
      <c r="AG377" s="273">
        <f t="shared" si="132"/>
        <v>0</v>
      </c>
      <c r="AH377" s="273">
        <f t="shared" si="133"/>
        <v>0</v>
      </c>
      <c r="AI377" s="273">
        <f t="shared" si="134"/>
        <v>0</v>
      </c>
      <c r="AJ377" s="273">
        <f t="shared" si="135"/>
        <v>0</v>
      </c>
      <c r="AK377" s="273">
        <f t="shared" si="136"/>
        <v>0</v>
      </c>
      <c r="AL377" s="274">
        <f t="shared" si="137"/>
        <v>0</v>
      </c>
      <c r="AN377" s="75" t="str">
        <f t="shared" si="138"/>
        <v>-</v>
      </c>
      <c r="AO377" s="75" t="str">
        <f t="shared" si="139"/>
        <v>-</v>
      </c>
      <c r="AP377" s="48">
        <f t="shared" si="142"/>
        <v>0</v>
      </c>
      <c r="AQ377" s="48">
        <f t="shared" si="140"/>
        <v>0</v>
      </c>
      <c r="AR377" s="49" t="e">
        <f t="shared" si="141"/>
        <v>#N/A</v>
      </c>
    </row>
    <row r="378" spans="1:44" ht="15">
      <c r="A378" s="38"/>
      <c r="B378" s="38"/>
      <c r="C378" s="38"/>
      <c r="D378" s="38"/>
      <c r="E378" s="38"/>
      <c r="F378" s="38"/>
      <c r="G378" s="47">
        <f t="shared" si="123"/>
        <v>6.5978850116714893E-2</v>
      </c>
      <c r="H378" s="44"/>
      <c r="I378" s="44"/>
      <c r="J378" s="45">
        <f t="shared" si="143"/>
        <v>0</v>
      </c>
      <c r="K378" s="38"/>
      <c r="L378" s="38"/>
      <c r="M378" s="38"/>
      <c r="N378" s="34" t="e">
        <f>VLOOKUP(F378,'GHG Emissions Factors'!$B$2:$C$4000,2,FALSE)</f>
        <v>#N/A</v>
      </c>
      <c r="O378" s="45" t="e">
        <f t="shared" si="124"/>
        <v>#N/A</v>
      </c>
      <c r="P378" s="34">
        <f>IF(L378="yes", 0, _xlfn.XLOOKUP(F378, 'GHG Emissions Factors'!$B$2:$B$4000, 'GHG Emissions Factors'!$D$2:$D$4000, 0))</f>
        <v>0</v>
      </c>
      <c r="Q378" s="46"/>
      <c r="R378" s="46"/>
      <c r="S378" s="46">
        <f>ProcurementAllocationData[[#This Row],[Net MWhs Procured]]-(ProcurementAllocationData[[#This Row],[Deep Green]]+ProcurementAllocationData[[#This Row],[LocalSol]]+ProcurementAllocationData[[#This Row],[GreenAccess]])</f>
        <v>0</v>
      </c>
      <c r="T378" s="46"/>
      <c r="U378" s="46"/>
      <c r="V378" s="46"/>
      <c r="W378" s="46"/>
      <c r="X378" s="46"/>
      <c r="Y378" s="112">
        <f t="shared" si="125"/>
        <v>0</v>
      </c>
      <c r="Z378" s="150">
        <f t="shared" si="126"/>
        <v>0</v>
      </c>
      <c r="AA378" s="150">
        <f t="shared" si="127"/>
        <v>0</v>
      </c>
      <c r="AB378" s="113">
        <f t="shared" si="128"/>
        <v>0</v>
      </c>
      <c r="AC378" s="36"/>
      <c r="AD378" s="272" t="str">
        <f t="shared" si="129"/>
        <v/>
      </c>
      <c r="AE378" s="273">
        <f t="shared" si="130"/>
        <v>0</v>
      </c>
      <c r="AF378" s="273">
        <f t="shared" si="131"/>
        <v>0</v>
      </c>
      <c r="AG378" s="273">
        <f t="shared" si="132"/>
        <v>0</v>
      </c>
      <c r="AH378" s="273">
        <f t="shared" si="133"/>
        <v>0</v>
      </c>
      <c r="AI378" s="273">
        <f t="shared" si="134"/>
        <v>0</v>
      </c>
      <c r="AJ378" s="273">
        <f t="shared" si="135"/>
        <v>0</v>
      </c>
      <c r="AK378" s="273">
        <f t="shared" si="136"/>
        <v>0</v>
      </c>
      <c r="AL378" s="274">
        <f t="shared" si="137"/>
        <v>0</v>
      </c>
      <c r="AN378" s="75" t="str">
        <f t="shared" si="138"/>
        <v>-</v>
      </c>
      <c r="AO378" s="75" t="str">
        <f t="shared" si="139"/>
        <v>-</v>
      </c>
      <c r="AP378" s="48">
        <f t="shared" si="142"/>
        <v>0</v>
      </c>
      <c r="AQ378" s="48">
        <f t="shared" si="140"/>
        <v>0</v>
      </c>
      <c r="AR378" s="49" t="e">
        <f t="shared" si="141"/>
        <v>#N/A</v>
      </c>
    </row>
    <row r="379" spans="1:44" ht="15">
      <c r="A379" s="38"/>
      <c r="B379" s="38"/>
      <c r="C379" s="38"/>
      <c r="D379" s="38"/>
      <c r="E379" s="38"/>
      <c r="F379" s="38"/>
      <c r="G379" s="47">
        <f t="shared" si="123"/>
        <v>6.5978850116714893E-2</v>
      </c>
      <c r="H379" s="44"/>
      <c r="I379" s="44"/>
      <c r="J379" s="45">
        <f t="shared" si="143"/>
        <v>0</v>
      </c>
      <c r="K379" s="38"/>
      <c r="L379" s="38"/>
      <c r="M379" s="38"/>
      <c r="N379" s="34" t="e">
        <f>VLOOKUP(F379,'GHG Emissions Factors'!$B$2:$C$4000,2,FALSE)</f>
        <v>#N/A</v>
      </c>
      <c r="O379" s="45" t="e">
        <f t="shared" si="124"/>
        <v>#N/A</v>
      </c>
      <c r="P379" s="34">
        <f>IF(L379="yes", 0, _xlfn.XLOOKUP(F379, 'GHG Emissions Factors'!$B$2:$B$4000, 'GHG Emissions Factors'!$D$2:$D$4000, 0))</f>
        <v>0</v>
      </c>
      <c r="Q379" s="46"/>
      <c r="R379" s="46"/>
      <c r="S379" s="46">
        <f>ProcurementAllocationData[[#This Row],[Net MWhs Procured]]-(ProcurementAllocationData[[#This Row],[Deep Green]]+ProcurementAllocationData[[#This Row],[LocalSol]]+ProcurementAllocationData[[#This Row],[GreenAccess]])</f>
        <v>0</v>
      </c>
      <c r="T379" s="46"/>
      <c r="U379" s="46"/>
      <c r="V379" s="46"/>
      <c r="W379" s="46"/>
      <c r="X379" s="46"/>
      <c r="Y379" s="112">
        <f t="shared" si="125"/>
        <v>0</v>
      </c>
      <c r="Z379" s="150">
        <f t="shared" si="126"/>
        <v>0</v>
      </c>
      <c r="AA379" s="150">
        <f t="shared" si="127"/>
        <v>0</v>
      </c>
      <c r="AB379" s="113">
        <f t="shared" si="128"/>
        <v>0</v>
      </c>
      <c r="AC379" s="36"/>
      <c r="AD379" s="272" t="str">
        <f t="shared" si="129"/>
        <v/>
      </c>
      <c r="AE379" s="273">
        <f t="shared" si="130"/>
        <v>0</v>
      </c>
      <c r="AF379" s="273">
        <f t="shared" si="131"/>
        <v>0</v>
      </c>
      <c r="AG379" s="273">
        <f t="shared" si="132"/>
        <v>0</v>
      </c>
      <c r="AH379" s="273">
        <f t="shared" si="133"/>
        <v>0</v>
      </c>
      <c r="AI379" s="273">
        <f t="shared" si="134"/>
        <v>0</v>
      </c>
      <c r="AJ379" s="273">
        <f t="shared" si="135"/>
        <v>0</v>
      </c>
      <c r="AK379" s="273">
        <f t="shared" si="136"/>
        <v>0</v>
      </c>
      <c r="AL379" s="274">
        <f t="shared" si="137"/>
        <v>0</v>
      </c>
      <c r="AN379" s="75" t="str">
        <f t="shared" si="138"/>
        <v>-</v>
      </c>
      <c r="AO379" s="75" t="str">
        <f t="shared" si="139"/>
        <v>-</v>
      </c>
      <c r="AP379" s="48">
        <f t="shared" si="142"/>
        <v>0</v>
      </c>
      <c r="AQ379" s="48">
        <f t="shared" si="140"/>
        <v>0</v>
      </c>
      <c r="AR379" s="49" t="e">
        <f t="shared" si="141"/>
        <v>#N/A</v>
      </c>
    </row>
    <row r="380" spans="1:44" ht="15">
      <c r="A380" s="38"/>
      <c r="B380" s="38"/>
      <c r="C380" s="38"/>
      <c r="D380" s="38"/>
      <c r="E380" s="38"/>
      <c r="F380" s="38"/>
      <c r="G380" s="47">
        <f t="shared" si="123"/>
        <v>6.5978850116714893E-2</v>
      </c>
      <c r="H380" s="44"/>
      <c r="I380" s="44"/>
      <c r="J380" s="45">
        <f t="shared" si="143"/>
        <v>0</v>
      </c>
      <c r="K380" s="38"/>
      <c r="L380" s="38"/>
      <c r="M380" s="38"/>
      <c r="N380" s="34" t="e">
        <f>VLOOKUP(F380,'GHG Emissions Factors'!$B$2:$C$4000,2,FALSE)</f>
        <v>#N/A</v>
      </c>
      <c r="O380" s="45" t="e">
        <f t="shared" si="124"/>
        <v>#N/A</v>
      </c>
      <c r="P380" s="34">
        <f>IF(L380="yes", 0, _xlfn.XLOOKUP(F380, 'GHG Emissions Factors'!$B$2:$B$4000, 'GHG Emissions Factors'!$D$2:$D$4000, 0))</f>
        <v>0</v>
      </c>
      <c r="Q380" s="46"/>
      <c r="R380" s="46"/>
      <c r="S380" s="46">
        <f>ProcurementAllocationData[[#This Row],[Net MWhs Procured]]-(ProcurementAllocationData[[#This Row],[Deep Green]]+ProcurementAllocationData[[#This Row],[LocalSol]]+ProcurementAllocationData[[#This Row],[GreenAccess]])</f>
        <v>0</v>
      </c>
      <c r="T380" s="46"/>
      <c r="U380" s="46"/>
      <c r="V380" s="46"/>
      <c r="W380" s="46"/>
      <c r="X380" s="46"/>
      <c r="Y380" s="112">
        <f t="shared" si="125"/>
        <v>0</v>
      </c>
      <c r="Z380" s="150">
        <f t="shared" si="126"/>
        <v>0</v>
      </c>
      <c r="AA380" s="150">
        <f t="shared" si="127"/>
        <v>0</v>
      </c>
      <c r="AB380" s="113">
        <f t="shared" si="128"/>
        <v>0</v>
      </c>
      <c r="AC380" s="36"/>
      <c r="AD380" s="272" t="str">
        <f t="shared" si="129"/>
        <v/>
      </c>
      <c r="AE380" s="273">
        <f t="shared" si="130"/>
        <v>0</v>
      </c>
      <c r="AF380" s="273">
        <f t="shared" si="131"/>
        <v>0</v>
      </c>
      <c r="AG380" s="273">
        <f t="shared" si="132"/>
        <v>0</v>
      </c>
      <c r="AH380" s="273">
        <f t="shared" si="133"/>
        <v>0</v>
      </c>
      <c r="AI380" s="273">
        <f t="shared" si="134"/>
        <v>0</v>
      </c>
      <c r="AJ380" s="273">
        <f t="shared" si="135"/>
        <v>0</v>
      </c>
      <c r="AK380" s="273">
        <f t="shared" si="136"/>
        <v>0</v>
      </c>
      <c r="AL380" s="274">
        <f t="shared" si="137"/>
        <v>0</v>
      </c>
      <c r="AN380" s="75" t="str">
        <f t="shared" si="138"/>
        <v>-</v>
      </c>
      <c r="AO380" s="75" t="str">
        <f t="shared" si="139"/>
        <v>-</v>
      </c>
      <c r="AP380" s="48">
        <f t="shared" si="142"/>
        <v>0</v>
      </c>
      <c r="AQ380" s="48">
        <f t="shared" si="140"/>
        <v>0</v>
      </c>
      <c r="AR380" s="49" t="e">
        <f t="shared" si="141"/>
        <v>#N/A</v>
      </c>
    </row>
    <row r="381" spans="1:44" ht="15">
      <c r="A381" s="38"/>
      <c r="B381" s="38"/>
      <c r="C381" s="38"/>
      <c r="D381" s="38"/>
      <c r="E381" s="38"/>
      <c r="F381" s="38"/>
      <c r="G381" s="47">
        <f t="shared" si="123"/>
        <v>6.5978850116714893E-2</v>
      </c>
      <c r="H381" s="44"/>
      <c r="I381" s="44"/>
      <c r="J381" s="45">
        <f t="shared" si="143"/>
        <v>0</v>
      </c>
      <c r="K381" s="38"/>
      <c r="L381" s="38"/>
      <c r="M381" s="38"/>
      <c r="N381" s="34" t="e">
        <f>VLOOKUP(F381,'GHG Emissions Factors'!$B$2:$C$4000,2,FALSE)</f>
        <v>#N/A</v>
      </c>
      <c r="O381" s="45" t="e">
        <f t="shared" si="124"/>
        <v>#N/A</v>
      </c>
      <c r="P381" s="34">
        <f>IF(L381="yes", 0, _xlfn.XLOOKUP(F381, 'GHG Emissions Factors'!$B$2:$B$4000, 'GHG Emissions Factors'!$D$2:$D$4000, 0))</f>
        <v>0</v>
      </c>
      <c r="Q381" s="46"/>
      <c r="R381" s="46"/>
      <c r="S381" s="46">
        <f>ProcurementAllocationData[[#This Row],[Net MWhs Procured]]-(ProcurementAllocationData[[#This Row],[Deep Green]]+ProcurementAllocationData[[#This Row],[LocalSol]]+ProcurementAllocationData[[#This Row],[GreenAccess]])</f>
        <v>0</v>
      </c>
      <c r="T381" s="46"/>
      <c r="U381" s="46"/>
      <c r="V381" s="46"/>
      <c r="W381" s="46"/>
      <c r="X381" s="46"/>
      <c r="Y381" s="112">
        <f t="shared" si="125"/>
        <v>0</v>
      </c>
      <c r="Z381" s="150">
        <f t="shared" si="126"/>
        <v>0</v>
      </c>
      <c r="AA381" s="150">
        <f t="shared" si="127"/>
        <v>0</v>
      </c>
      <c r="AB381" s="113">
        <f t="shared" si="128"/>
        <v>0</v>
      </c>
      <c r="AC381" s="36"/>
      <c r="AD381" s="272" t="str">
        <f t="shared" si="129"/>
        <v/>
      </c>
      <c r="AE381" s="273">
        <f t="shared" si="130"/>
        <v>0</v>
      </c>
      <c r="AF381" s="273">
        <f t="shared" si="131"/>
        <v>0</v>
      </c>
      <c r="AG381" s="273">
        <f t="shared" si="132"/>
        <v>0</v>
      </c>
      <c r="AH381" s="273">
        <f t="shared" si="133"/>
        <v>0</v>
      </c>
      <c r="AI381" s="273">
        <f t="shared" si="134"/>
        <v>0</v>
      </c>
      <c r="AJ381" s="273">
        <f t="shared" si="135"/>
        <v>0</v>
      </c>
      <c r="AK381" s="273">
        <f t="shared" si="136"/>
        <v>0</v>
      </c>
      <c r="AL381" s="274">
        <f t="shared" si="137"/>
        <v>0</v>
      </c>
      <c r="AN381" s="75" t="str">
        <f t="shared" si="138"/>
        <v>-</v>
      </c>
      <c r="AO381" s="75" t="str">
        <f t="shared" si="139"/>
        <v>-</v>
      </c>
      <c r="AP381" s="48">
        <f t="shared" si="142"/>
        <v>0</v>
      </c>
      <c r="AQ381" s="48">
        <f t="shared" si="140"/>
        <v>0</v>
      </c>
      <c r="AR381" s="49" t="e">
        <f t="shared" si="141"/>
        <v>#N/A</v>
      </c>
    </row>
    <row r="382" spans="1:44" ht="15">
      <c r="A382" s="38"/>
      <c r="B382" s="38"/>
      <c r="C382" s="38"/>
      <c r="D382" s="38"/>
      <c r="E382" s="38"/>
      <c r="F382" s="38"/>
      <c r="G382" s="47">
        <f t="shared" si="123"/>
        <v>6.5978850116714893E-2</v>
      </c>
      <c r="H382" s="44"/>
      <c r="I382" s="44"/>
      <c r="J382" s="45">
        <f t="shared" si="143"/>
        <v>0</v>
      </c>
      <c r="K382" s="38"/>
      <c r="L382" s="38"/>
      <c r="M382" s="38"/>
      <c r="N382" s="34" t="e">
        <f>VLOOKUP(F382,'GHG Emissions Factors'!$B$2:$C$4000,2,FALSE)</f>
        <v>#N/A</v>
      </c>
      <c r="O382" s="45" t="e">
        <f t="shared" si="124"/>
        <v>#N/A</v>
      </c>
      <c r="P382" s="34">
        <f>IF(L382="yes", 0, _xlfn.XLOOKUP(F382, 'GHG Emissions Factors'!$B$2:$B$4000, 'GHG Emissions Factors'!$D$2:$D$4000, 0))</f>
        <v>0</v>
      </c>
      <c r="Q382" s="46"/>
      <c r="R382" s="46"/>
      <c r="S382" s="46">
        <f>ProcurementAllocationData[[#This Row],[Net MWhs Procured]]-(ProcurementAllocationData[[#This Row],[Deep Green]]+ProcurementAllocationData[[#This Row],[LocalSol]]+ProcurementAllocationData[[#This Row],[GreenAccess]])</f>
        <v>0</v>
      </c>
      <c r="T382" s="46"/>
      <c r="U382" s="46"/>
      <c r="V382" s="46"/>
      <c r="W382" s="46"/>
      <c r="X382" s="46"/>
      <c r="Y382" s="112">
        <f t="shared" si="125"/>
        <v>0</v>
      </c>
      <c r="Z382" s="150">
        <f t="shared" si="126"/>
        <v>0</v>
      </c>
      <c r="AA382" s="150">
        <f t="shared" si="127"/>
        <v>0</v>
      </c>
      <c r="AB382" s="113">
        <f t="shared" si="128"/>
        <v>0</v>
      </c>
      <c r="AC382" s="36"/>
      <c r="AD382" s="272" t="str">
        <f t="shared" si="129"/>
        <v/>
      </c>
      <c r="AE382" s="273">
        <f t="shared" si="130"/>
        <v>0</v>
      </c>
      <c r="AF382" s="273">
        <f t="shared" si="131"/>
        <v>0</v>
      </c>
      <c r="AG382" s="273">
        <f t="shared" si="132"/>
        <v>0</v>
      </c>
      <c r="AH382" s="273">
        <f t="shared" si="133"/>
        <v>0</v>
      </c>
      <c r="AI382" s="273">
        <f t="shared" si="134"/>
        <v>0</v>
      </c>
      <c r="AJ382" s="273">
        <f t="shared" si="135"/>
        <v>0</v>
      </c>
      <c r="AK382" s="273">
        <f t="shared" si="136"/>
        <v>0</v>
      </c>
      <c r="AL382" s="274">
        <f t="shared" si="137"/>
        <v>0</v>
      </c>
      <c r="AN382" s="75" t="str">
        <f t="shared" si="138"/>
        <v>-</v>
      </c>
      <c r="AO382" s="75" t="str">
        <f t="shared" si="139"/>
        <v>-</v>
      </c>
      <c r="AP382" s="48">
        <f t="shared" si="142"/>
        <v>0</v>
      </c>
      <c r="AQ382" s="48">
        <f t="shared" si="140"/>
        <v>0</v>
      </c>
      <c r="AR382" s="49" t="e">
        <f t="shared" si="141"/>
        <v>#N/A</v>
      </c>
    </row>
    <row r="383" spans="1:44" ht="15">
      <c r="A383" s="38"/>
      <c r="B383" s="38"/>
      <c r="C383" s="38"/>
      <c r="D383" s="38"/>
      <c r="E383" s="38"/>
      <c r="F383" s="38"/>
      <c r="G383" s="47">
        <f t="shared" si="123"/>
        <v>6.5978850116714893E-2</v>
      </c>
      <c r="H383" s="44"/>
      <c r="I383" s="44"/>
      <c r="J383" s="45">
        <f t="shared" si="143"/>
        <v>0</v>
      </c>
      <c r="K383" s="38"/>
      <c r="L383" s="38"/>
      <c r="M383" s="38"/>
      <c r="N383" s="34" t="e">
        <f>VLOOKUP(F383,'GHG Emissions Factors'!$B$2:$C$4000,2,FALSE)</f>
        <v>#N/A</v>
      </c>
      <c r="O383" s="45" t="e">
        <f t="shared" si="124"/>
        <v>#N/A</v>
      </c>
      <c r="P383" s="34">
        <f>IF(L383="yes", 0, _xlfn.XLOOKUP(F383, 'GHG Emissions Factors'!$B$2:$B$4000, 'GHG Emissions Factors'!$D$2:$D$4000, 0))</f>
        <v>0</v>
      </c>
      <c r="Q383" s="46"/>
      <c r="R383" s="46"/>
      <c r="S383" s="46">
        <f>ProcurementAllocationData[[#This Row],[Net MWhs Procured]]-(ProcurementAllocationData[[#This Row],[Deep Green]]+ProcurementAllocationData[[#This Row],[LocalSol]]+ProcurementAllocationData[[#This Row],[GreenAccess]])</f>
        <v>0</v>
      </c>
      <c r="T383" s="46"/>
      <c r="U383" s="46"/>
      <c r="V383" s="46"/>
      <c r="W383" s="46"/>
      <c r="X383" s="46"/>
      <c r="Y383" s="112">
        <f t="shared" si="125"/>
        <v>0</v>
      </c>
      <c r="Z383" s="150">
        <f t="shared" si="126"/>
        <v>0</v>
      </c>
      <c r="AA383" s="150">
        <f t="shared" si="127"/>
        <v>0</v>
      </c>
      <c r="AB383" s="113">
        <f t="shared" si="128"/>
        <v>0</v>
      </c>
      <c r="AC383" s="36"/>
      <c r="AD383" s="272" t="str">
        <f t="shared" si="129"/>
        <v/>
      </c>
      <c r="AE383" s="273">
        <f t="shared" si="130"/>
        <v>0</v>
      </c>
      <c r="AF383" s="273">
        <f t="shared" si="131"/>
        <v>0</v>
      </c>
      <c r="AG383" s="273">
        <f t="shared" si="132"/>
        <v>0</v>
      </c>
      <c r="AH383" s="273">
        <f t="shared" si="133"/>
        <v>0</v>
      </c>
      <c r="AI383" s="273">
        <f t="shared" si="134"/>
        <v>0</v>
      </c>
      <c r="AJ383" s="273">
        <f t="shared" si="135"/>
        <v>0</v>
      </c>
      <c r="AK383" s="273">
        <f t="shared" si="136"/>
        <v>0</v>
      </c>
      <c r="AL383" s="274">
        <f t="shared" si="137"/>
        <v>0</v>
      </c>
      <c r="AN383" s="75" t="str">
        <f t="shared" si="138"/>
        <v>-</v>
      </c>
      <c r="AO383" s="75" t="str">
        <f t="shared" si="139"/>
        <v>-</v>
      </c>
      <c r="AP383" s="48">
        <f t="shared" si="142"/>
        <v>0</v>
      </c>
      <c r="AQ383" s="48">
        <f t="shared" si="140"/>
        <v>0</v>
      </c>
      <c r="AR383" s="49" t="e">
        <f t="shared" si="141"/>
        <v>#N/A</v>
      </c>
    </row>
    <row r="384" spans="1:44" ht="15">
      <c r="A384" s="38"/>
      <c r="B384" s="38"/>
      <c r="C384" s="38"/>
      <c r="D384" s="38"/>
      <c r="E384" s="38"/>
      <c r="F384" s="38"/>
      <c r="G384" s="47">
        <f t="shared" si="123"/>
        <v>6.5978850116714893E-2</v>
      </c>
      <c r="H384" s="44"/>
      <c r="I384" s="44"/>
      <c r="J384" s="45">
        <f t="shared" si="143"/>
        <v>0</v>
      </c>
      <c r="K384" s="38"/>
      <c r="L384" s="38"/>
      <c r="M384" s="38"/>
      <c r="N384" s="34" t="e">
        <f>VLOOKUP(F384,'GHG Emissions Factors'!$B$2:$C$4000,2,FALSE)</f>
        <v>#N/A</v>
      </c>
      <c r="O384" s="45" t="e">
        <f t="shared" si="124"/>
        <v>#N/A</v>
      </c>
      <c r="P384" s="34">
        <f>IF(L384="yes", 0, _xlfn.XLOOKUP(F384, 'GHG Emissions Factors'!$B$2:$B$4000, 'GHG Emissions Factors'!$D$2:$D$4000, 0))</f>
        <v>0</v>
      </c>
      <c r="Q384" s="46"/>
      <c r="R384" s="46"/>
      <c r="S384" s="46">
        <f>ProcurementAllocationData[[#This Row],[Net MWhs Procured]]-(ProcurementAllocationData[[#This Row],[Deep Green]]+ProcurementAllocationData[[#This Row],[LocalSol]]+ProcurementAllocationData[[#This Row],[GreenAccess]])</f>
        <v>0</v>
      </c>
      <c r="T384" s="46"/>
      <c r="U384" s="46"/>
      <c r="V384" s="46"/>
      <c r="W384" s="46"/>
      <c r="X384" s="46"/>
      <c r="Y384" s="112">
        <f t="shared" si="125"/>
        <v>0</v>
      </c>
      <c r="Z384" s="150">
        <f t="shared" si="126"/>
        <v>0</v>
      </c>
      <c r="AA384" s="150">
        <f t="shared" si="127"/>
        <v>0</v>
      </c>
      <c r="AB384" s="113">
        <f t="shared" si="128"/>
        <v>0</v>
      </c>
      <c r="AC384" s="36"/>
      <c r="AD384" s="272" t="str">
        <f t="shared" si="129"/>
        <v/>
      </c>
      <c r="AE384" s="273">
        <f t="shared" si="130"/>
        <v>0</v>
      </c>
      <c r="AF384" s="273">
        <f t="shared" si="131"/>
        <v>0</v>
      </c>
      <c r="AG384" s="273">
        <f t="shared" si="132"/>
        <v>0</v>
      </c>
      <c r="AH384" s="273">
        <f t="shared" si="133"/>
        <v>0</v>
      </c>
      <c r="AI384" s="273">
        <f t="shared" si="134"/>
        <v>0</v>
      </c>
      <c r="AJ384" s="273">
        <f t="shared" si="135"/>
        <v>0</v>
      </c>
      <c r="AK384" s="273">
        <f t="shared" si="136"/>
        <v>0</v>
      </c>
      <c r="AL384" s="274">
        <f t="shared" si="137"/>
        <v>0</v>
      </c>
      <c r="AN384" s="75" t="str">
        <f t="shared" si="138"/>
        <v>-</v>
      </c>
      <c r="AO384" s="75" t="str">
        <f t="shared" si="139"/>
        <v>-</v>
      </c>
      <c r="AP384" s="48">
        <f t="shared" si="142"/>
        <v>0</v>
      </c>
      <c r="AQ384" s="48">
        <f t="shared" si="140"/>
        <v>0</v>
      </c>
      <c r="AR384" s="49" t="e">
        <f t="shared" si="141"/>
        <v>#N/A</v>
      </c>
    </row>
    <row r="385" spans="1:44" ht="15">
      <c r="A385" s="38"/>
      <c r="B385" s="38"/>
      <c r="C385" s="38"/>
      <c r="D385" s="38"/>
      <c r="E385" s="38"/>
      <c r="F385" s="38"/>
      <c r="G385" s="47">
        <f t="shared" si="123"/>
        <v>6.5978850116714893E-2</v>
      </c>
      <c r="H385" s="44"/>
      <c r="I385" s="44"/>
      <c r="J385" s="45">
        <f t="shared" si="143"/>
        <v>0</v>
      </c>
      <c r="K385" s="38"/>
      <c r="L385" s="38"/>
      <c r="M385" s="38"/>
      <c r="N385" s="34" t="e">
        <f>VLOOKUP(F385,'GHG Emissions Factors'!$B$2:$C$4000,2,FALSE)</f>
        <v>#N/A</v>
      </c>
      <c r="O385" s="45" t="e">
        <f t="shared" si="124"/>
        <v>#N/A</v>
      </c>
      <c r="P385" s="34">
        <f>IF(L385="yes", 0, _xlfn.XLOOKUP(F385, 'GHG Emissions Factors'!$B$2:$B$4000, 'GHG Emissions Factors'!$D$2:$D$4000, 0))</f>
        <v>0</v>
      </c>
      <c r="Q385" s="46"/>
      <c r="R385" s="46"/>
      <c r="S385" s="46">
        <f>ProcurementAllocationData[[#This Row],[Net MWhs Procured]]-(ProcurementAllocationData[[#This Row],[Deep Green]]+ProcurementAllocationData[[#This Row],[LocalSol]]+ProcurementAllocationData[[#This Row],[GreenAccess]])</f>
        <v>0</v>
      </c>
      <c r="T385" s="46"/>
      <c r="U385" s="46"/>
      <c r="V385" s="46"/>
      <c r="W385" s="46"/>
      <c r="X385" s="46"/>
      <c r="Y385" s="112">
        <f t="shared" si="125"/>
        <v>0</v>
      </c>
      <c r="Z385" s="150">
        <f t="shared" si="126"/>
        <v>0</v>
      </c>
      <c r="AA385" s="150">
        <f t="shared" si="127"/>
        <v>0</v>
      </c>
      <c r="AB385" s="113">
        <f t="shared" si="128"/>
        <v>0</v>
      </c>
      <c r="AC385" s="36"/>
      <c r="AD385" s="272" t="str">
        <f t="shared" si="129"/>
        <v/>
      </c>
      <c r="AE385" s="273">
        <f t="shared" si="130"/>
        <v>0</v>
      </c>
      <c r="AF385" s="273">
        <f t="shared" si="131"/>
        <v>0</v>
      </c>
      <c r="AG385" s="273">
        <f t="shared" si="132"/>
        <v>0</v>
      </c>
      <c r="AH385" s="273">
        <f t="shared" si="133"/>
        <v>0</v>
      </c>
      <c r="AI385" s="273">
        <f t="shared" si="134"/>
        <v>0</v>
      </c>
      <c r="AJ385" s="273">
        <f t="shared" si="135"/>
        <v>0</v>
      </c>
      <c r="AK385" s="273">
        <f t="shared" si="136"/>
        <v>0</v>
      </c>
      <c r="AL385" s="274">
        <f t="shared" si="137"/>
        <v>0</v>
      </c>
      <c r="AN385" s="75" t="str">
        <f t="shared" si="138"/>
        <v>-</v>
      </c>
      <c r="AO385" s="75" t="str">
        <f t="shared" si="139"/>
        <v>-</v>
      </c>
      <c r="AP385" s="48">
        <f t="shared" si="142"/>
        <v>0</v>
      </c>
      <c r="AQ385" s="48">
        <f t="shared" si="140"/>
        <v>0</v>
      </c>
      <c r="AR385" s="49" t="e">
        <f t="shared" si="141"/>
        <v>#N/A</v>
      </c>
    </row>
    <row r="386" spans="1:44" ht="15">
      <c r="A386" s="38"/>
      <c r="B386" s="38"/>
      <c r="C386" s="38"/>
      <c r="D386" s="38"/>
      <c r="E386" s="38"/>
      <c r="F386" s="38"/>
      <c r="G386" s="47">
        <f t="shared" si="123"/>
        <v>6.5978850116714893E-2</v>
      </c>
      <c r="H386" s="44"/>
      <c r="I386" s="44"/>
      <c r="J386" s="45">
        <f t="shared" si="143"/>
        <v>0</v>
      </c>
      <c r="K386" s="38"/>
      <c r="L386" s="38"/>
      <c r="M386" s="38"/>
      <c r="N386" s="34" t="e">
        <f>VLOOKUP(F386,'GHG Emissions Factors'!$B$2:$C$4000,2,FALSE)</f>
        <v>#N/A</v>
      </c>
      <c r="O386" s="45" t="e">
        <f t="shared" si="124"/>
        <v>#N/A</v>
      </c>
      <c r="P386" s="34">
        <f>IF(L386="yes", 0, _xlfn.XLOOKUP(F386, 'GHG Emissions Factors'!$B$2:$B$4000, 'GHG Emissions Factors'!$D$2:$D$4000, 0))</f>
        <v>0</v>
      </c>
      <c r="Q386" s="46"/>
      <c r="R386" s="46"/>
      <c r="S386" s="46">
        <f>ProcurementAllocationData[[#This Row],[Net MWhs Procured]]-(ProcurementAllocationData[[#This Row],[Deep Green]]+ProcurementAllocationData[[#This Row],[LocalSol]]+ProcurementAllocationData[[#This Row],[GreenAccess]])</f>
        <v>0</v>
      </c>
      <c r="T386" s="46"/>
      <c r="U386" s="46"/>
      <c r="V386" s="46"/>
      <c r="W386" s="46"/>
      <c r="X386" s="46"/>
      <c r="Y386" s="112">
        <f t="shared" si="125"/>
        <v>0</v>
      </c>
      <c r="Z386" s="150">
        <f t="shared" si="126"/>
        <v>0</v>
      </c>
      <c r="AA386" s="150">
        <f t="shared" si="127"/>
        <v>0</v>
      </c>
      <c r="AB386" s="113">
        <f t="shared" si="128"/>
        <v>0</v>
      </c>
      <c r="AC386" s="36"/>
      <c r="AD386" s="272" t="str">
        <f t="shared" si="129"/>
        <v/>
      </c>
      <c r="AE386" s="273">
        <f t="shared" si="130"/>
        <v>0</v>
      </c>
      <c r="AF386" s="273">
        <f t="shared" si="131"/>
        <v>0</v>
      </c>
      <c r="AG386" s="273">
        <f t="shared" si="132"/>
        <v>0</v>
      </c>
      <c r="AH386" s="273">
        <f t="shared" si="133"/>
        <v>0</v>
      </c>
      <c r="AI386" s="273">
        <f t="shared" si="134"/>
        <v>0</v>
      </c>
      <c r="AJ386" s="273">
        <f t="shared" si="135"/>
        <v>0</v>
      </c>
      <c r="AK386" s="273">
        <f t="shared" si="136"/>
        <v>0</v>
      </c>
      <c r="AL386" s="274">
        <f t="shared" si="137"/>
        <v>0</v>
      </c>
      <c r="AN386" s="75" t="str">
        <f t="shared" si="138"/>
        <v>-</v>
      </c>
      <c r="AO386" s="75" t="str">
        <f t="shared" si="139"/>
        <v>-</v>
      </c>
      <c r="AP386" s="48">
        <f t="shared" si="142"/>
        <v>0</v>
      </c>
      <c r="AQ386" s="48">
        <f t="shared" si="140"/>
        <v>0</v>
      </c>
      <c r="AR386" s="49" t="e">
        <f t="shared" si="141"/>
        <v>#N/A</v>
      </c>
    </row>
    <row r="387" spans="1:44" ht="15">
      <c r="A387" s="38"/>
      <c r="B387" s="38"/>
      <c r="C387" s="38"/>
      <c r="D387" s="38"/>
      <c r="E387" s="38"/>
      <c r="F387" s="38"/>
      <c r="G387" s="47">
        <f t="shared" si="123"/>
        <v>6.5978850116714893E-2</v>
      </c>
      <c r="H387" s="44"/>
      <c r="I387" s="44"/>
      <c r="J387" s="45">
        <f t="shared" si="143"/>
        <v>0</v>
      </c>
      <c r="K387" s="38"/>
      <c r="L387" s="38"/>
      <c r="M387" s="38"/>
      <c r="N387" s="34" t="e">
        <f>VLOOKUP(F387,'GHG Emissions Factors'!$B$2:$C$4000,2,FALSE)</f>
        <v>#N/A</v>
      </c>
      <c r="O387" s="45" t="e">
        <f t="shared" si="124"/>
        <v>#N/A</v>
      </c>
      <c r="P387" s="34">
        <f>IF(L387="yes", 0, _xlfn.XLOOKUP(F387, 'GHG Emissions Factors'!$B$2:$B$4000, 'GHG Emissions Factors'!$D$2:$D$4000, 0))</f>
        <v>0</v>
      </c>
      <c r="Q387" s="46"/>
      <c r="R387" s="46"/>
      <c r="S387" s="46">
        <f>ProcurementAllocationData[[#This Row],[Net MWhs Procured]]-(ProcurementAllocationData[[#This Row],[Deep Green]]+ProcurementAllocationData[[#This Row],[LocalSol]]+ProcurementAllocationData[[#This Row],[GreenAccess]])</f>
        <v>0</v>
      </c>
      <c r="T387" s="46"/>
      <c r="U387" s="46"/>
      <c r="V387" s="46"/>
      <c r="W387" s="46"/>
      <c r="X387" s="46"/>
      <c r="Y387" s="112">
        <f t="shared" si="125"/>
        <v>0</v>
      </c>
      <c r="Z387" s="150">
        <f t="shared" si="126"/>
        <v>0</v>
      </c>
      <c r="AA387" s="150">
        <f t="shared" si="127"/>
        <v>0</v>
      </c>
      <c r="AB387" s="113">
        <f t="shared" si="128"/>
        <v>0</v>
      </c>
      <c r="AC387" s="36"/>
      <c r="AD387" s="272" t="str">
        <f t="shared" si="129"/>
        <v/>
      </c>
      <c r="AE387" s="273">
        <f t="shared" si="130"/>
        <v>0</v>
      </c>
      <c r="AF387" s="273">
        <f t="shared" si="131"/>
        <v>0</v>
      </c>
      <c r="AG387" s="273">
        <f t="shared" si="132"/>
        <v>0</v>
      </c>
      <c r="AH387" s="273">
        <f t="shared" si="133"/>
        <v>0</v>
      </c>
      <c r="AI387" s="273">
        <f t="shared" si="134"/>
        <v>0</v>
      </c>
      <c r="AJ387" s="273">
        <f t="shared" si="135"/>
        <v>0</v>
      </c>
      <c r="AK387" s="273">
        <f t="shared" si="136"/>
        <v>0</v>
      </c>
      <c r="AL387" s="274">
        <f t="shared" si="137"/>
        <v>0</v>
      </c>
      <c r="AN387" s="75" t="str">
        <f t="shared" si="138"/>
        <v>-</v>
      </c>
      <c r="AO387" s="75" t="str">
        <f t="shared" si="139"/>
        <v>-</v>
      </c>
      <c r="AP387" s="48">
        <f t="shared" si="142"/>
        <v>0</v>
      </c>
      <c r="AQ387" s="48">
        <f t="shared" si="140"/>
        <v>0</v>
      </c>
      <c r="AR387" s="49" t="e">
        <f t="shared" si="141"/>
        <v>#N/A</v>
      </c>
    </row>
    <row r="388" spans="1:44" ht="15">
      <c r="A388" s="38"/>
      <c r="B388" s="38"/>
      <c r="C388" s="38"/>
      <c r="D388" s="38"/>
      <c r="E388" s="38"/>
      <c r="F388" s="38"/>
      <c r="G388" s="47">
        <f t="shared" si="123"/>
        <v>6.5978850116714893E-2</v>
      </c>
      <c r="H388" s="44"/>
      <c r="I388" s="44"/>
      <c r="J388" s="45">
        <f t="shared" si="143"/>
        <v>0</v>
      </c>
      <c r="K388" s="38"/>
      <c r="L388" s="38"/>
      <c r="M388" s="38"/>
      <c r="N388" s="34" t="e">
        <f>VLOOKUP(F388,'GHG Emissions Factors'!$B$2:$C$4000,2,FALSE)</f>
        <v>#N/A</v>
      </c>
      <c r="O388" s="45" t="e">
        <f t="shared" si="124"/>
        <v>#N/A</v>
      </c>
      <c r="P388" s="34">
        <f>IF(L388="yes", 0, _xlfn.XLOOKUP(F388, 'GHG Emissions Factors'!$B$2:$B$4000, 'GHG Emissions Factors'!$D$2:$D$4000, 0))</f>
        <v>0</v>
      </c>
      <c r="Q388" s="46"/>
      <c r="R388" s="46"/>
      <c r="S388" s="46">
        <f>ProcurementAllocationData[[#This Row],[Net MWhs Procured]]-(ProcurementAllocationData[[#This Row],[Deep Green]]+ProcurementAllocationData[[#This Row],[LocalSol]]+ProcurementAllocationData[[#This Row],[GreenAccess]])</f>
        <v>0</v>
      </c>
      <c r="T388" s="46"/>
      <c r="U388" s="46"/>
      <c r="V388" s="46"/>
      <c r="W388" s="46"/>
      <c r="X388" s="46"/>
      <c r="Y388" s="112">
        <f t="shared" si="125"/>
        <v>0</v>
      </c>
      <c r="Z388" s="150">
        <f t="shared" si="126"/>
        <v>0</v>
      </c>
      <c r="AA388" s="150">
        <f t="shared" si="127"/>
        <v>0</v>
      </c>
      <c r="AB388" s="113">
        <f t="shared" si="128"/>
        <v>0</v>
      </c>
      <c r="AC388" s="36"/>
      <c r="AD388" s="272" t="str">
        <f t="shared" si="129"/>
        <v/>
      </c>
      <c r="AE388" s="273">
        <f t="shared" si="130"/>
        <v>0</v>
      </c>
      <c r="AF388" s="273">
        <f t="shared" si="131"/>
        <v>0</v>
      </c>
      <c r="AG388" s="273">
        <f t="shared" si="132"/>
        <v>0</v>
      </c>
      <c r="AH388" s="273">
        <f t="shared" si="133"/>
        <v>0</v>
      </c>
      <c r="AI388" s="273">
        <f t="shared" si="134"/>
        <v>0</v>
      </c>
      <c r="AJ388" s="273">
        <f t="shared" si="135"/>
        <v>0</v>
      </c>
      <c r="AK388" s="273">
        <f t="shared" si="136"/>
        <v>0</v>
      </c>
      <c r="AL388" s="274">
        <f t="shared" si="137"/>
        <v>0</v>
      </c>
      <c r="AN388" s="75" t="str">
        <f t="shared" si="138"/>
        <v>-</v>
      </c>
      <c r="AO388" s="75" t="str">
        <f t="shared" si="139"/>
        <v>-</v>
      </c>
      <c r="AP388" s="48">
        <f t="shared" si="142"/>
        <v>0</v>
      </c>
      <c r="AQ388" s="48">
        <f t="shared" si="140"/>
        <v>0</v>
      </c>
      <c r="AR388" s="49" t="e">
        <f t="shared" si="141"/>
        <v>#N/A</v>
      </c>
    </row>
    <row r="389" spans="1:44" ht="15">
      <c r="A389" s="38"/>
      <c r="B389" s="38"/>
      <c r="C389" s="38"/>
      <c r="D389" s="38"/>
      <c r="E389" s="38"/>
      <c r="F389" s="38"/>
      <c r="G389" s="47">
        <f t="shared" si="123"/>
        <v>6.5978850116714893E-2</v>
      </c>
      <c r="H389" s="44"/>
      <c r="I389" s="44"/>
      <c r="J389" s="45">
        <f t="shared" si="143"/>
        <v>0</v>
      </c>
      <c r="K389" s="38"/>
      <c r="L389" s="38"/>
      <c r="M389" s="38"/>
      <c r="N389" s="34" t="e">
        <f>VLOOKUP(F389,'GHG Emissions Factors'!$B$2:$C$4000,2,FALSE)</f>
        <v>#N/A</v>
      </c>
      <c r="O389" s="45" t="e">
        <f t="shared" si="124"/>
        <v>#N/A</v>
      </c>
      <c r="P389" s="34">
        <f>IF(L389="yes", 0, _xlfn.XLOOKUP(F389, 'GHG Emissions Factors'!$B$2:$B$4000, 'GHG Emissions Factors'!$D$2:$D$4000, 0))</f>
        <v>0</v>
      </c>
      <c r="Q389" s="46"/>
      <c r="R389" s="46"/>
      <c r="S389" s="46">
        <f>ProcurementAllocationData[[#This Row],[Net MWhs Procured]]-(ProcurementAllocationData[[#This Row],[Deep Green]]+ProcurementAllocationData[[#This Row],[LocalSol]]+ProcurementAllocationData[[#This Row],[GreenAccess]])</f>
        <v>0</v>
      </c>
      <c r="T389" s="46"/>
      <c r="U389" s="46"/>
      <c r="V389" s="46"/>
      <c r="W389" s="46"/>
      <c r="X389" s="46"/>
      <c r="Y389" s="112">
        <f t="shared" si="125"/>
        <v>0</v>
      </c>
      <c r="Z389" s="150">
        <f t="shared" si="126"/>
        <v>0</v>
      </c>
      <c r="AA389" s="150">
        <f t="shared" si="127"/>
        <v>0</v>
      </c>
      <c r="AB389" s="113">
        <f t="shared" si="128"/>
        <v>0</v>
      </c>
      <c r="AC389" s="36"/>
      <c r="AD389" s="272" t="str">
        <f t="shared" si="129"/>
        <v/>
      </c>
      <c r="AE389" s="273">
        <f t="shared" si="130"/>
        <v>0</v>
      </c>
      <c r="AF389" s="273">
        <f t="shared" si="131"/>
        <v>0</v>
      </c>
      <c r="AG389" s="273">
        <f t="shared" si="132"/>
        <v>0</v>
      </c>
      <c r="AH389" s="273">
        <f t="shared" si="133"/>
        <v>0</v>
      </c>
      <c r="AI389" s="273">
        <f t="shared" si="134"/>
        <v>0</v>
      </c>
      <c r="AJ389" s="273">
        <f t="shared" si="135"/>
        <v>0</v>
      </c>
      <c r="AK389" s="273">
        <f t="shared" si="136"/>
        <v>0</v>
      </c>
      <c r="AL389" s="274">
        <f t="shared" si="137"/>
        <v>0</v>
      </c>
      <c r="AN389" s="75" t="str">
        <f t="shared" si="138"/>
        <v>-</v>
      </c>
      <c r="AO389" s="75" t="str">
        <f t="shared" si="139"/>
        <v>-</v>
      </c>
      <c r="AP389" s="48">
        <f t="shared" si="142"/>
        <v>0</v>
      </c>
      <c r="AQ389" s="48">
        <f t="shared" si="140"/>
        <v>0</v>
      </c>
      <c r="AR389" s="49" t="e">
        <f t="shared" si="141"/>
        <v>#N/A</v>
      </c>
    </row>
    <row r="390" spans="1:44" ht="15">
      <c r="A390" s="38"/>
      <c r="B390" s="38"/>
      <c r="C390" s="38"/>
      <c r="D390" s="38"/>
      <c r="E390" s="38"/>
      <c r="F390" s="38"/>
      <c r="G390" s="47">
        <f t="shared" si="123"/>
        <v>6.5978850116714893E-2</v>
      </c>
      <c r="H390" s="44"/>
      <c r="I390" s="44"/>
      <c r="J390" s="45">
        <f t="shared" si="143"/>
        <v>0</v>
      </c>
      <c r="K390" s="38"/>
      <c r="L390" s="38"/>
      <c r="M390" s="38"/>
      <c r="N390" s="34" t="e">
        <f>VLOOKUP(F390,'GHG Emissions Factors'!$B$2:$C$4000,2,FALSE)</f>
        <v>#N/A</v>
      </c>
      <c r="O390" s="45" t="e">
        <f t="shared" si="124"/>
        <v>#N/A</v>
      </c>
      <c r="P390" s="34">
        <f>IF(L390="yes", 0, _xlfn.XLOOKUP(F390, 'GHG Emissions Factors'!$B$2:$B$4000, 'GHG Emissions Factors'!$D$2:$D$4000, 0))</f>
        <v>0</v>
      </c>
      <c r="Q390" s="46"/>
      <c r="R390" s="46"/>
      <c r="S390" s="46">
        <f>ProcurementAllocationData[[#This Row],[Net MWhs Procured]]-(ProcurementAllocationData[[#This Row],[Deep Green]]+ProcurementAllocationData[[#This Row],[LocalSol]]+ProcurementAllocationData[[#This Row],[GreenAccess]])</f>
        <v>0</v>
      </c>
      <c r="T390" s="46"/>
      <c r="U390" s="46"/>
      <c r="V390" s="46"/>
      <c r="W390" s="46"/>
      <c r="X390" s="46"/>
      <c r="Y390" s="112">
        <f t="shared" si="125"/>
        <v>0</v>
      </c>
      <c r="Z390" s="150">
        <f t="shared" si="126"/>
        <v>0</v>
      </c>
      <c r="AA390" s="150">
        <f t="shared" si="127"/>
        <v>0</v>
      </c>
      <c r="AB390" s="113">
        <f t="shared" si="128"/>
        <v>0</v>
      </c>
      <c r="AC390" s="36"/>
      <c r="AD390" s="272" t="str">
        <f t="shared" si="129"/>
        <v/>
      </c>
      <c r="AE390" s="273">
        <f t="shared" si="130"/>
        <v>0</v>
      </c>
      <c r="AF390" s="273">
        <f t="shared" si="131"/>
        <v>0</v>
      </c>
      <c r="AG390" s="273">
        <f t="shared" si="132"/>
        <v>0</v>
      </c>
      <c r="AH390" s="273">
        <f t="shared" si="133"/>
        <v>0</v>
      </c>
      <c r="AI390" s="273">
        <f t="shared" si="134"/>
        <v>0</v>
      </c>
      <c r="AJ390" s="273">
        <f t="shared" si="135"/>
        <v>0</v>
      </c>
      <c r="AK390" s="273">
        <f t="shared" si="136"/>
        <v>0</v>
      </c>
      <c r="AL390" s="274">
        <f t="shared" si="137"/>
        <v>0</v>
      </c>
      <c r="AN390" s="75" t="str">
        <f t="shared" si="138"/>
        <v>-</v>
      </c>
      <c r="AO390" s="75" t="str">
        <f t="shared" si="139"/>
        <v>-</v>
      </c>
      <c r="AP390" s="48">
        <f t="shared" si="142"/>
        <v>0</v>
      </c>
      <c r="AQ390" s="48">
        <f t="shared" si="140"/>
        <v>0</v>
      </c>
      <c r="AR390" s="49" t="e">
        <f t="shared" si="141"/>
        <v>#N/A</v>
      </c>
    </row>
    <row r="391" spans="1:44" ht="15">
      <c r="A391" s="38"/>
      <c r="B391" s="38"/>
      <c r="C391" s="38"/>
      <c r="D391" s="38"/>
      <c r="E391" s="38"/>
      <c r="F391" s="38"/>
      <c r="G391" s="47">
        <f t="shared" si="123"/>
        <v>6.5978850116714893E-2</v>
      </c>
      <c r="H391" s="44"/>
      <c r="I391" s="44"/>
      <c r="J391" s="45">
        <f t="shared" si="143"/>
        <v>0</v>
      </c>
      <c r="K391" s="38"/>
      <c r="L391" s="38"/>
      <c r="M391" s="38"/>
      <c r="N391" s="34" t="e">
        <f>VLOOKUP(F391,'GHG Emissions Factors'!$B$2:$C$4000,2,FALSE)</f>
        <v>#N/A</v>
      </c>
      <c r="O391" s="45" t="e">
        <f t="shared" si="124"/>
        <v>#N/A</v>
      </c>
      <c r="P391" s="34">
        <f>IF(L391="yes", 0, _xlfn.XLOOKUP(F391, 'GHG Emissions Factors'!$B$2:$B$4000, 'GHG Emissions Factors'!$D$2:$D$4000, 0))</f>
        <v>0</v>
      </c>
      <c r="Q391" s="46"/>
      <c r="R391" s="46"/>
      <c r="S391" s="46">
        <f>ProcurementAllocationData[[#This Row],[Net MWhs Procured]]-(ProcurementAllocationData[[#This Row],[Deep Green]]+ProcurementAllocationData[[#This Row],[LocalSol]]+ProcurementAllocationData[[#This Row],[GreenAccess]])</f>
        <v>0</v>
      </c>
      <c r="T391" s="46"/>
      <c r="U391" s="46"/>
      <c r="V391" s="46"/>
      <c r="W391" s="46"/>
      <c r="X391" s="46"/>
      <c r="Y391" s="112">
        <f t="shared" si="125"/>
        <v>0</v>
      </c>
      <c r="Z391" s="150">
        <f t="shared" si="126"/>
        <v>0</v>
      </c>
      <c r="AA391" s="150">
        <f t="shared" si="127"/>
        <v>0</v>
      </c>
      <c r="AB391" s="113">
        <f t="shared" si="128"/>
        <v>0</v>
      </c>
      <c r="AC391" s="36"/>
      <c r="AD391" s="272" t="str">
        <f t="shared" si="129"/>
        <v/>
      </c>
      <c r="AE391" s="273">
        <f t="shared" si="130"/>
        <v>0</v>
      </c>
      <c r="AF391" s="273">
        <f t="shared" si="131"/>
        <v>0</v>
      </c>
      <c r="AG391" s="273">
        <f t="shared" si="132"/>
        <v>0</v>
      </c>
      <c r="AH391" s="273">
        <f t="shared" si="133"/>
        <v>0</v>
      </c>
      <c r="AI391" s="273">
        <f t="shared" si="134"/>
        <v>0</v>
      </c>
      <c r="AJ391" s="273">
        <f t="shared" si="135"/>
        <v>0</v>
      </c>
      <c r="AK391" s="273">
        <f t="shared" si="136"/>
        <v>0</v>
      </c>
      <c r="AL391" s="274">
        <f t="shared" si="137"/>
        <v>0</v>
      </c>
      <c r="AN391" s="75" t="str">
        <f t="shared" si="138"/>
        <v>-</v>
      </c>
      <c r="AO391" s="75" t="str">
        <f t="shared" si="139"/>
        <v>-</v>
      </c>
      <c r="AP391" s="48">
        <f t="shared" si="142"/>
        <v>0</v>
      </c>
      <c r="AQ391" s="48">
        <f t="shared" si="140"/>
        <v>0</v>
      </c>
      <c r="AR391" s="49" t="e">
        <f t="shared" si="141"/>
        <v>#N/A</v>
      </c>
    </row>
    <row r="392" spans="1:44" ht="15">
      <c r="A392" s="38"/>
      <c r="B392" s="38"/>
      <c r="C392" s="38"/>
      <c r="D392" s="38"/>
      <c r="E392" s="38"/>
      <c r="F392" s="38"/>
      <c r="G392" s="47">
        <f t="shared" si="123"/>
        <v>6.5978850116714893E-2</v>
      </c>
      <c r="H392" s="44"/>
      <c r="I392" s="44"/>
      <c r="J392" s="45">
        <f t="shared" si="143"/>
        <v>0</v>
      </c>
      <c r="K392" s="38"/>
      <c r="L392" s="38"/>
      <c r="M392" s="38"/>
      <c r="N392" s="34" t="e">
        <f>VLOOKUP(F392,'GHG Emissions Factors'!$B$2:$C$4000,2,FALSE)</f>
        <v>#N/A</v>
      </c>
      <c r="O392" s="45" t="e">
        <f t="shared" si="124"/>
        <v>#N/A</v>
      </c>
      <c r="P392" s="34">
        <f>IF(L392="yes", 0, _xlfn.XLOOKUP(F392, 'GHG Emissions Factors'!$B$2:$B$4000, 'GHG Emissions Factors'!$D$2:$D$4000, 0))</f>
        <v>0</v>
      </c>
      <c r="Q392" s="46"/>
      <c r="R392" s="46"/>
      <c r="S392" s="46">
        <f>ProcurementAllocationData[[#This Row],[Net MWhs Procured]]-(ProcurementAllocationData[[#This Row],[Deep Green]]+ProcurementAllocationData[[#This Row],[LocalSol]]+ProcurementAllocationData[[#This Row],[GreenAccess]])</f>
        <v>0</v>
      </c>
      <c r="T392" s="46"/>
      <c r="U392" s="46"/>
      <c r="V392" s="46"/>
      <c r="W392" s="46"/>
      <c r="X392" s="46"/>
      <c r="Y392" s="112">
        <f t="shared" si="125"/>
        <v>0</v>
      </c>
      <c r="Z392" s="150">
        <f t="shared" si="126"/>
        <v>0</v>
      </c>
      <c r="AA392" s="150">
        <f t="shared" si="127"/>
        <v>0</v>
      </c>
      <c r="AB392" s="113">
        <f t="shared" si="128"/>
        <v>0</v>
      </c>
      <c r="AC392" s="36"/>
      <c r="AD392" s="272" t="str">
        <f t="shared" si="129"/>
        <v/>
      </c>
      <c r="AE392" s="273">
        <f t="shared" si="130"/>
        <v>0</v>
      </c>
      <c r="AF392" s="273">
        <f t="shared" si="131"/>
        <v>0</v>
      </c>
      <c r="AG392" s="273">
        <f t="shared" si="132"/>
        <v>0</v>
      </c>
      <c r="AH392" s="273">
        <f t="shared" si="133"/>
        <v>0</v>
      </c>
      <c r="AI392" s="273">
        <f t="shared" si="134"/>
        <v>0</v>
      </c>
      <c r="AJ392" s="273">
        <f t="shared" si="135"/>
        <v>0</v>
      </c>
      <c r="AK392" s="273">
        <f t="shared" si="136"/>
        <v>0</v>
      </c>
      <c r="AL392" s="274">
        <f t="shared" si="137"/>
        <v>0</v>
      </c>
      <c r="AN392" s="75" t="str">
        <f t="shared" si="138"/>
        <v>-</v>
      </c>
      <c r="AO392" s="75" t="str">
        <f t="shared" si="139"/>
        <v>-</v>
      </c>
      <c r="AP392" s="48">
        <f t="shared" si="142"/>
        <v>0</v>
      </c>
      <c r="AQ392" s="48">
        <f t="shared" si="140"/>
        <v>0</v>
      </c>
      <c r="AR392" s="49" t="e">
        <f t="shared" si="141"/>
        <v>#N/A</v>
      </c>
    </row>
    <row r="393" spans="1:44" ht="15">
      <c r="A393" s="38"/>
      <c r="B393" s="38"/>
      <c r="C393" s="38"/>
      <c r="D393" s="38"/>
      <c r="E393" s="38"/>
      <c r="F393" s="38"/>
      <c r="G393" s="47">
        <f t="shared" si="123"/>
        <v>6.5978850116714893E-2</v>
      </c>
      <c r="H393" s="44"/>
      <c r="I393" s="44"/>
      <c r="J393" s="45">
        <f t="shared" si="143"/>
        <v>0</v>
      </c>
      <c r="K393" s="38"/>
      <c r="L393" s="38"/>
      <c r="M393" s="38"/>
      <c r="N393" s="34" t="e">
        <f>VLOOKUP(F393,'GHG Emissions Factors'!$B$2:$C$4000,2,FALSE)</f>
        <v>#N/A</v>
      </c>
      <c r="O393" s="45" t="e">
        <f t="shared" si="124"/>
        <v>#N/A</v>
      </c>
      <c r="P393" s="34">
        <f>IF(L393="yes", 0, _xlfn.XLOOKUP(F393, 'GHG Emissions Factors'!$B$2:$B$4000, 'GHG Emissions Factors'!$D$2:$D$4000, 0))</f>
        <v>0</v>
      </c>
      <c r="Q393" s="46"/>
      <c r="R393" s="46"/>
      <c r="S393" s="46">
        <f>ProcurementAllocationData[[#This Row],[Net MWhs Procured]]-(ProcurementAllocationData[[#This Row],[Deep Green]]+ProcurementAllocationData[[#This Row],[LocalSol]]+ProcurementAllocationData[[#This Row],[GreenAccess]])</f>
        <v>0</v>
      </c>
      <c r="T393" s="46"/>
      <c r="U393" s="46"/>
      <c r="V393" s="46"/>
      <c r="W393" s="46"/>
      <c r="X393" s="46"/>
      <c r="Y393" s="112">
        <f t="shared" si="125"/>
        <v>0</v>
      </c>
      <c r="Z393" s="150">
        <f t="shared" si="126"/>
        <v>0</v>
      </c>
      <c r="AA393" s="150">
        <f t="shared" si="127"/>
        <v>0</v>
      </c>
      <c r="AB393" s="113">
        <f t="shared" si="128"/>
        <v>0</v>
      </c>
      <c r="AC393" s="36"/>
      <c r="AD393" s="272" t="str">
        <f t="shared" si="129"/>
        <v/>
      </c>
      <c r="AE393" s="273">
        <f t="shared" si="130"/>
        <v>0</v>
      </c>
      <c r="AF393" s="273">
        <f t="shared" si="131"/>
        <v>0</v>
      </c>
      <c r="AG393" s="273">
        <f t="shared" si="132"/>
        <v>0</v>
      </c>
      <c r="AH393" s="273">
        <f t="shared" si="133"/>
        <v>0</v>
      </c>
      <c r="AI393" s="273">
        <f t="shared" si="134"/>
        <v>0</v>
      </c>
      <c r="AJ393" s="273">
        <f t="shared" si="135"/>
        <v>0</v>
      </c>
      <c r="AK393" s="273">
        <f t="shared" si="136"/>
        <v>0</v>
      </c>
      <c r="AL393" s="274">
        <f t="shared" si="137"/>
        <v>0</v>
      </c>
      <c r="AN393" s="75" t="str">
        <f t="shared" si="138"/>
        <v>-</v>
      </c>
      <c r="AO393" s="75" t="str">
        <f t="shared" si="139"/>
        <v>-</v>
      </c>
      <c r="AP393" s="48">
        <f t="shared" si="142"/>
        <v>0</v>
      </c>
      <c r="AQ393" s="48">
        <f t="shared" si="140"/>
        <v>0</v>
      </c>
      <c r="AR393" s="49" t="e">
        <f t="shared" si="141"/>
        <v>#N/A</v>
      </c>
    </row>
    <row r="394" spans="1:44" ht="15">
      <c r="A394" s="38"/>
      <c r="B394" s="38"/>
      <c r="C394" s="38"/>
      <c r="D394" s="38"/>
      <c r="E394" s="38"/>
      <c r="F394" s="38"/>
      <c r="G394" s="47">
        <f t="shared" si="123"/>
        <v>6.5978850116714893E-2</v>
      </c>
      <c r="H394" s="44"/>
      <c r="I394" s="44"/>
      <c r="J394" s="45">
        <f t="shared" si="143"/>
        <v>0</v>
      </c>
      <c r="K394" s="38"/>
      <c r="L394" s="38"/>
      <c r="M394" s="38"/>
      <c r="N394" s="34" t="e">
        <f>VLOOKUP(F394,'GHG Emissions Factors'!$B$2:$C$4000,2,FALSE)</f>
        <v>#N/A</v>
      </c>
      <c r="O394" s="45" t="e">
        <f t="shared" si="124"/>
        <v>#N/A</v>
      </c>
      <c r="P394" s="34">
        <f>IF(L394="yes", 0, _xlfn.XLOOKUP(F394, 'GHG Emissions Factors'!$B$2:$B$4000, 'GHG Emissions Factors'!$D$2:$D$4000, 0))</f>
        <v>0</v>
      </c>
      <c r="Q394" s="46"/>
      <c r="R394" s="46"/>
      <c r="S394" s="46">
        <f>ProcurementAllocationData[[#This Row],[Net MWhs Procured]]-(ProcurementAllocationData[[#This Row],[Deep Green]]+ProcurementAllocationData[[#This Row],[LocalSol]]+ProcurementAllocationData[[#This Row],[GreenAccess]])</f>
        <v>0</v>
      </c>
      <c r="T394" s="46"/>
      <c r="U394" s="46"/>
      <c r="V394" s="46"/>
      <c r="W394" s="46"/>
      <c r="X394" s="46"/>
      <c r="Y394" s="112">
        <f t="shared" si="125"/>
        <v>0</v>
      </c>
      <c r="Z394" s="150">
        <f t="shared" si="126"/>
        <v>0</v>
      </c>
      <c r="AA394" s="150">
        <f t="shared" si="127"/>
        <v>0</v>
      </c>
      <c r="AB394" s="113">
        <f t="shared" si="128"/>
        <v>0</v>
      </c>
      <c r="AC394" s="36"/>
      <c r="AD394" s="272" t="str">
        <f t="shared" si="129"/>
        <v/>
      </c>
      <c r="AE394" s="273">
        <f t="shared" si="130"/>
        <v>0</v>
      </c>
      <c r="AF394" s="273">
        <f t="shared" si="131"/>
        <v>0</v>
      </c>
      <c r="AG394" s="273">
        <f t="shared" si="132"/>
        <v>0</v>
      </c>
      <c r="AH394" s="273">
        <f t="shared" si="133"/>
        <v>0</v>
      </c>
      <c r="AI394" s="273">
        <f t="shared" si="134"/>
        <v>0</v>
      </c>
      <c r="AJ394" s="273">
        <f t="shared" si="135"/>
        <v>0</v>
      </c>
      <c r="AK394" s="273">
        <f t="shared" si="136"/>
        <v>0</v>
      </c>
      <c r="AL394" s="274">
        <f t="shared" si="137"/>
        <v>0</v>
      </c>
      <c r="AN394" s="75" t="str">
        <f t="shared" si="138"/>
        <v>-</v>
      </c>
      <c r="AO394" s="75" t="str">
        <f t="shared" si="139"/>
        <v>-</v>
      </c>
      <c r="AP394" s="48">
        <f t="shared" si="142"/>
        <v>0</v>
      </c>
      <c r="AQ394" s="48">
        <f t="shared" si="140"/>
        <v>0</v>
      </c>
      <c r="AR394" s="49" t="e">
        <f t="shared" si="141"/>
        <v>#N/A</v>
      </c>
    </row>
    <row r="395" spans="1:44" ht="15">
      <c r="A395" s="38"/>
      <c r="B395" s="38"/>
      <c r="C395" s="38"/>
      <c r="D395" s="38"/>
      <c r="E395" s="38"/>
      <c r="F395" s="38"/>
      <c r="G395" s="47">
        <f t="shared" si="123"/>
        <v>6.5978850116714893E-2</v>
      </c>
      <c r="H395" s="44"/>
      <c r="I395" s="44"/>
      <c r="J395" s="45">
        <f t="shared" si="143"/>
        <v>0</v>
      </c>
      <c r="K395" s="38"/>
      <c r="L395" s="38"/>
      <c r="M395" s="38"/>
      <c r="N395" s="34" t="e">
        <f>VLOOKUP(F395,'GHG Emissions Factors'!$B$2:$C$4000,2,FALSE)</f>
        <v>#N/A</v>
      </c>
      <c r="O395" s="45" t="e">
        <f t="shared" si="124"/>
        <v>#N/A</v>
      </c>
      <c r="P395" s="34">
        <f>IF(L395="yes", 0, _xlfn.XLOOKUP(F395, 'GHG Emissions Factors'!$B$2:$B$4000, 'GHG Emissions Factors'!$D$2:$D$4000, 0))</f>
        <v>0</v>
      </c>
      <c r="Q395" s="46"/>
      <c r="R395" s="46"/>
      <c r="S395" s="46">
        <f>ProcurementAllocationData[[#This Row],[Net MWhs Procured]]-(ProcurementAllocationData[[#This Row],[Deep Green]]+ProcurementAllocationData[[#This Row],[LocalSol]]+ProcurementAllocationData[[#This Row],[GreenAccess]])</f>
        <v>0</v>
      </c>
      <c r="T395" s="46"/>
      <c r="U395" s="46"/>
      <c r="V395" s="46"/>
      <c r="W395" s="46"/>
      <c r="X395" s="46"/>
      <c r="Y395" s="112">
        <f t="shared" si="125"/>
        <v>0</v>
      </c>
      <c r="Z395" s="150">
        <f t="shared" si="126"/>
        <v>0</v>
      </c>
      <c r="AA395" s="150">
        <f t="shared" si="127"/>
        <v>0</v>
      </c>
      <c r="AB395" s="113">
        <f t="shared" si="128"/>
        <v>0</v>
      </c>
      <c r="AC395" s="36"/>
      <c r="AD395" s="272" t="str">
        <f t="shared" si="129"/>
        <v/>
      </c>
      <c r="AE395" s="273">
        <f t="shared" si="130"/>
        <v>0</v>
      </c>
      <c r="AF395" s="273">
        <f t="shared" si="131"/>
        <v>0</v>
      </c>
      <c r="AG395" s="273">
        <f t="shared" si="132"/>
        <v>0</v>
      </c>
      <c r="AH395" s="273">
        <f t="shared" si="133"/>
        <v>0</v>
      </c>
      <c r="AI395" s="273">
        <f t="shared" si="134"/>
        <v>0</v>
      </c>
      <c r="AJ395" s="273">
        <f t="shared" si="135"/>
        <v>0</v>
      </c>
      <c r="AK395" s="273">
        <f t="shared" si="136"/>
        <v>0</v>
      </c>
      <c r="AL395" s="274">
        <f t="shared" si="137"/>
        <v>0</v>
      </c>
      <c r="AN395" s="75" t="str">
        <f t="shared" si="138"/>
        <v>-</v>
      </c>
      <c r="AO395" s="75" t="str">
        <f t="shared" si="139"/>
        <v>-</v>
      </c>
      <c r="AP395" s="48">
        <f t="shared" si="142"/>
        <v>0</v>
      </c>
      <c r="AQ395" s="48">
        <f t="shared" si="140"/>
        <v>0</v>
      </c>
      <c r="AR395" s="49" t="e">
        <f t="shared" si="141"/>
        <v>#N/A</v>
      </c>
    </row>
    <row r="396" spans="1:44" ht="15">
      <c r="A396" s="38"/>
      <c r="B396" s="38"/>
      <c r="C396" s="38"/>
      <c r="D396" s="38"/>
      <c r="E396" s="38"/>
      <c r="F396" s="38"/>
      <c r="G396" s="47">
        <f t="shared" si="123"/>
        <v>6.5978850116714893E-2</v>
      </c>
      <c r="H396" s="44"/>
      <c r="I396" s="44"/>
      <c r="J396" s="45">
        <f t="shared" si="143"/>
        <v>0</v>
      </c>
      <c r="K396" s="38"/>
      <c r="L396" s="38"/>
      <c r="M396" s="38"/>
      <c r="N396" s="34" t="e">
        <f>VLOOKUP(F396,'GHG Emissions Factors'!$B$2:$C$4000,2,FALSE)</f>
        <v>#N/A</v>
      </c>
      <c r="O396" s="45" t="e">
        <f t="shared" si="124"/>
        <v>#N/A</v>
      </c>
      <c r="P396" s="34">
        <f>IF(L396="yes", 0, _xlfn.XLOOKUP(F396, 'GHG Emissions Factors'!$B$2:$B$4000, 'GHG Emissions Factors'!$D$2:$D$4000, 0))</f>
        <v>0</v>
      </c>
      <c r="Q396" s="46"/>
      <c r="R396" s="46"/>
      <c r="S396" s="46">
        <f>ProcurementAllocationData[[#This Row],[Net MWhs Procured]]-(ProcurementAllocationData[[#This Row],[Deep Green]]+ProcurementAllocationData[[#This Row],[LocalSol]]+ProcurementAllocationData[[#This Row],[GreenAccess]])</f>
        <v>0</v>
      </c>
      <c r="T396" s="46"/>
      <c r="U396" s="46"/>
      <c r="V396" s="46"/>
      <c r="W396" s="46"/>
      <c r="X396" s="46"/>
      <c r="Y396" s="112">
        <f t="shared" si="125"/>
        <v>0</v>
      </c>
      <c r="Z396" s="150">
        <f t="shared" si="126"/>
        <v>0</v>
      </c>
      <c r="AA396" s="150">
        <f t="shared" si="127"/>
        <v>0</v>
      </c>
      <c r="AB396" s="113">
        <f t="shared" si="128"/>
        <v>0</v>
      </c>
      <c r="AC396" s="36"/>
      <c r="AD396" s="272" t="str">
        <f t="shared" si="129"/>
        <v/>
      </c>
      <c r="AE396" s="273">
        <f t="shared" si="130"/>
        <v>0</v>
      </c>
      <c r="AF396" s="273">
        <f t="shared" si="131"/>
        <v>0</v>
      </c>
      <c r="AG396" s="273">
        <f t="shared" si="132"/>
        <v>0</v>
      </c>
      <c r="AH396" s="273">
        <f t="shared" si="133"/>
        <v>0</v>
      </c>
      <c r="AI396" s="273">
        <f t="shared" si="134"/>
        <v>0</v>
      </c>
      <c r="AJ396" s="273">
        <f t="shared" si="135"/>
        <v>0</v>
      </c>
      <c r="AK396" s="273">
        <f t="shared" si="136"/>
        <v>0</v>
      </c>
      <c r="AL396" s="274">
        <f t="shared" si="137"/>
        <v>0</v>
      </c>
      <c r="AN396" s="75" t="str">
        <f t="shared" si="138"/>
        <v>-</v>
      </c>
      <c r="AO396" s="75" t="str">
        <f t="shared" si="139"/>
        <v>-</v>
      </c>
      <c r="AP396" s="48">
        <f t="shared" si="142"/>
        <v>0</v>
      </c>
      <c r="AQ396" s="48">
        <f t="shared" si="140"/>
        <v>0</v>
      </c>
      <c r="AR396" s="49" t="e">
        <f t="shared" si="141"/>
        <v>#N/A</v>
      </c>
    </row>
    <row r="397" spans="1:44" ht="15">
      <c r="A397" s="38"/>
      <c r="B397" s="38"/>
      <c r="C397" s="38"/>
      <c r="D397" s="38"/>
      <c r="E397" s="38"/>
      <c r="F397" s="38"/>
      <c r="G397" s="47">
        <f t="shared" si="123"/>
        <v>6.5978850116714893E-2</v>
      </c>
      <c r="H397" s="44"/>
      <c r="I397" s="44"/>
      <c r="J397" s="45">
        <f t="shared" si="143"/>
        <v>0</v>
      </c>
      <c r="K397" s="38"/>
      <c r="L397" s="38"/>
      <c r="M397" s="38"/>
      <c r="N397" s="34" t="e">
        <f>VLOOKUP(F397,'GHG Emissions Factors'!$B$2:$C$4000,2,FALSE)</f>
        <v>#N/A</v>
      </c>
      <c r="O397" s="45" t="e">
        <f t="shared" si="124"/>
        <v>#N/A</v>
      </c>
      <c r="P397" s="34">
        <f>IF(L397="yes", 0, _xlfn.XLOOKUP(F397, 'GHG Emissions Factors'!$B$2:$B$4000, 'GHG Emissions Factors'!$D$2:$D$4000, 0))</f>
        <v>0</v>
      </c>
      <c r="Q397" s="46"/>
      <c r="R397" s="46"/>
      <c r="S397" s="46">
        <f>ProcurementAllocationData[[#This Row],[Net MWhs Procured]]-(ProcurementAllocationData[[#This Row],[Deep Green]]+ProcurementAllocationData[[#This Row],[LocalSol]]+ProcurementAllocationData[[#This Row],[GreenAccess]])</f>
        <v>0</v>
      </c>
      <c r="T397" s="46"/>
      <c r="U397" s="46"/>
      <c r="V397" s="46"/>
      <c r="W397" s="46"/>
      <c r="X397" s="46"/>
      <c r="Y397" s="112">
        <f t="shared" si="125"/>
        <v>0</v>
      </c>
      <c r="Z397" s="150">
        <f t="shared" si="126"/>
        <v>0</v>
      </c>
      <c r="AA397" s="150">
        <f t="shared" si="127"/>
        <v>0</v>
      </c>
      <c r="AB397" s="113">
        <f t="shared" si="128"/>
        <v>0</v>
      </c>
      <c r="AC397" s="36"/>
      <c r="AD397" s="272" t="str">
        <f t="shared" si="129"/>
        <v/>
      </c>
      <c r="AE397" s="273">
        <f t="shared" si="130"/>
        <v>0</v>
      </c>
      <c r="AF397" s="273">
        <f t="shared" si="131"/>
        <v>0</v>
      </c>
      <c r="AG397" s="273">
        <f t="shared" si="132"/>
        <v>0</v>
      </c>
      <c r="AH397" s="273">
        <f t="shared" si="133"/>
        <v>0</v>
      </c>
      <c r="AI397" s="273">
        <f t="shared" si="134"/>
        <v>0</v>
      </c>
      <c r="AJ397" s="273">
        <f t="shared" si="135"/>
        <v>0</v>
      </c>
      <c r="AK397" s="273">
        <f t="shared" si="136"/>
        <v>0</v>
      </c>
      <c r="AL397" s="274">
        <f t="shared" si="137"/>
        <v>0</v>
      </c>
      <c r="AN397" s="75" t="str">
        <f t="shared" si="138"/>
        <v>-</v>
      </c>
      <c r="AO397" s="75" t="str">
        <f t="shared" si="139"/>
        <v>-</v>
      </c>
      <c r="AP397" s="48">
        <f t="shared" si="142"/>
        <v>0</v>
      </c>
      <c r="AQ397" s="48">
        <f t="shared" si="140"/>
        <v>0</v>
      </c>
      <c r="AR397" s="49" t="e">
        <f t="shared" si="141"/>
        <v>#N/A</v>
      </c>
    </row>
    <row r="398" spans="1:44" ht="15">
      <c r="A398" s="38"/>
      <c r="B398" s="38"/>
      <c r="C398" s="38"/>
      <c r="D398" s="38"/>
      <c r="E398" s="38"/>
      <c r="F398" s="38"/>
      <c r="G398" s="47">
        <f t="shared" si="123"/>
        <v>6.5978850116714893E-2</v>
      </c>
      <c r="H398" s="44"/>
      <c r="I398" s="44"/>
      <c r="J398" s="45">
        <f t="shared" si="143"/>
        <v>0</v>
      </c>
      <c r="K398" s="38"/>
      <c r="L398" s="38"/>
      <c r="M398" s="38"/>
      <c r="N398" s="34" t="e">
        <f>VLOOKUP(F398,'GHG Emissions Factors'!$B$2:$C$4000,2,FALSE)</f>
        <v>#N/A</v>
      </c>
      <c r="O398" s="45" t="e">
        <f t="shared" si="124"/>
        <v>#N/A</v>
      </c>
      <c r="P398" s="34">
        <f>IF(L398="yes", 0, _xlfn.XLOOKUP(F398, 'GHG Emissions Factors'!$B$2:$B$4000, 'GHG Emissions Factors'!$D$2:$D$4000, 0))</f>
        <v>0</v>
      </c>
      <c r="Q398" s="46"/>
      <c r="R398" s="46"/>
      <c r="S398" s="46">
        <f>ProcurementAllocationData[[#This Row],[Net MWhs Procured]]-(ProcurementAllocationData[[#This Row],[Deep Green]]+ProcurementAllocationData[[#This Row],[LocalSol]]+ProcurementAllocationData[[#This Row],[GreenAccess]])</f>
        <v>0</v>
      </c>
      <c r="T398" s="46"/>
      <c r="U398" s="46"/>
      <c r="V398" s="46"/>
      <c r="W398" s="46"/>
      <c r="X398" s="46"/>
      <c r="Y398" s="112">
        <f t="shared" si="125"/>
        <v>0</v>
      </c>
      <c r="Z398" s="150">
        <f t="shared" si="126"/>
        <v>0</v>
      </c>
      <c r="AA398" s="150">
        <f t="shared" si="127"/>
        <v>0</v>
      </c>
      <c r="AB398" s="113">
        <f t="shared" si="128"/>
        <v>0</v>
      </c>
      <c r="AC398" s="36"/>
      <c r="AD398" s="272" t="str">
        <f t="shared" si="129"/>
        <v/>
      </c>
      <c r="AE398" s="273">
        <f t="shared" si="130"/>
        <v>0</v>
      </c>
      <c r="AF398" s="273">
        <f t="shared" si="131"/>
        <v>0</v>
      </c>
      <c r="AG398" s="273">
        <f t="shared" si="132"/>
        <v>0</v>
      </c>
      <c r="AH398" s="273">
        <f t="shared" si="133"/>
        <v>0</v>
      </c>
      <c r="AI398" s="273">
        <f t="shared" si="134"/>
        <v>0</v>
      </c>
      <c r="AJ398" s="273">
        <f t="shared" si="135"/>
        <v>0</v>
      </c>
      <c r="AK398" s="273">
        <f t="shared" si="136"/>
        <v>0</v>
      </c>
      <c r="AL398" s="274">
        <f t="shared" si="137"/>
        <v>0</v>
      </c>
      <c r="AN398" s="75" t="str">
        <f t="shared" si="138"/>
        <v>-</v>
      </c>
      <c r="AO398" s="75" t="str">
        <f t="shared" si="139"/>
        <v>-</v>
      </c>
      <c r="AP398" s="48">
        <f t="shared" si="142"/>
        <v>0</v>
      </c>
      <c r="AQ398" s="48">
        <f t="shared" si="140"/>
        <v>0</v>
      </c>
      <c r="AR398" s="49" t="e">
        <f t="shared" si="141"/>
        <v>#N/A</v>
      </c>
    </row>
    <row r="399" spans="1:44" ht="15">
      <c r="A399" s="38"/>
      <c r="B399" s="38"/>
      <c r="C399" s="38"/>
      <c r="D399" s="38"/>
      <c r="E399" s="38"/>
      <c r="F399" s="38"/>
      <c r="G399" s="47">
        <f t="shared" si="123"/>
        <v>6.5978850116714893E-2</v>
      </c>
      <c r="H399" s="44"/>
      <c r="I399" s="44"/>
      <c r="J399" s="45">
        <f t="shared" si="143"/>
        <v>0</v>
      </c>
      <c r="K399" s="38"/>
      <c r="L399" s="38"/>
      <c r="M399" s="38"/>
      <c r="N399" s="34" t="e">
        <f>VLOOKUP(F399,'GHG Emissions Factors'!$B$2:$C$4000,2,FALSE)</f>
        <v>#N/A</v>
      </c>
      <c r="O399" s="45" t="e">
        <f t="shared" si="124"/>
        <v>#N/A</v>
      </c>
      <c r="P399" s="34">
        <f>IF(L399="yes", 0, _xlfn.XLOOKUP(F399, 'GHG Emissions Factors'!$B$2:$B$4000, 'GHG Emissions Factors'!$D$2:$D$4000, 0))</f>
        <v>0</v>
      </c>
      <c r="Q399" s="46"/>
      <c r="R399" s="46"/>
      <c r="S399" s="46">
        <f>ProcurementAllocationData[[#This Row],[Net MWhs Procured]]-(ProcurementAllocationData[[#This Row],[Deep Green]]+ProcurementAllocationData[[#This Row],[LocalSol]]+ProcurementAllocationData[[#This Row],[GreenAccess]])</f>
        <v>0</v>
      </c>
      <c r="T399" s="46"/>
      <c r="U399" s="46"/>
      <c r="V399" s="46"/>
      <c r="W399" s="46"/>
      <c r="X399" s="46"/>
      <c r="Y399" s="112">
        <f t="shared" si="125"/>
        <v>0</v>
      </c>
      <c r="Z399" s="150">
        <f t="shared" si="126"/>
        <v>0</v>
      </c>
      <c r="AA399" s="150">
        <f t="shared" si="127"/>
        <v>0</v>
      </c>
      <c r="AB399" s="113">
        <f t="shared" si="128"/>
        <v>0</v>
      </c>
      <c r="AC399" s="36"/>
      <c r="AD399" s="272" t="str">
        <f t="shared" si="129"/>
        <v/>
      </c>
      <c r="AE399" s="273">
        <f t="shared" si="130"/>
        <v>0</v>
      </c>
      <c r="AF399" s="273">
        <f t="shared" si="131"/>
        <v>0</v>
      </c>
      <c r="AG399" s="273">
        <f t="shared" si="132"/>
        <v>0</v>
      </c>
      <c r="AH399" s="273">
        <f t="shared" si="133"/>
        <v>0</v>
      </c>
      <c r="AI399" s="273">
        <f t="shared" si="134"/>
        <v>0</v>
      </c>
      <c r="AJ399" s="273">
        <f t="shared" si="135"/>
        <v>0</v>
      </c>
      <c r="AK399" s="273">
        <f t="shared" si="136"/>
        <v>0</v>
      </c>
      <c r="AL399" s="274">
        <f t="shared" si="137"/>
        <v>0</v>
      </c>
      <c r="AN399" s="75" t="str">
        <f t="shared" si="138"/>
        <v>-</v>
      </c>
      <c r="AO399" s="75" t="str">
        <f t="shared" si="139"/>
        <v>-</v>
      </c>
      <c r="AP399" s="48">
        <f t="shared" si="142"/>
        <v>0</v>
      </c>
      <c r="AQ399" s="48">
        <f t="shared" si="140"/>
        <v>0</v>
      </c>
      <c r="AR399" s="49" t="e">
        <f t="shared" si="141"/>
        <v>#N/A</v>
      </c>
    </row>
    <row r="400" spans="1:44" ht="15">
      <c r="A400" s="38"/>
      <c r="B400" s="38"/>
      <c r="C400" s="38"/>
      <c r="D400" s="38"/>
      <c r="E400" s="38"/>
      <c r="F400" s="38"/>
      <c r="G400" s="47">
        <f t="shared" si="123"/>
        <v>6.5978850116714893E-2</v>
      </c>
      <c r="H400" s="44"/>
      <c r="I400" s="44"/>
      <c r="J400" s="45">
        <f t="shared" si="143"/>
        <v>0</v>
      </c>
      <c r="K400" s="38"/>
      <c r="L400" s="38"/>
      <c r="M400" s="38"/>
      <c r="N400" s="34" t="e">
        <f>VLOOKUP(F400,'GHG Emissions Factors'!$B$2:$C$4000,2,FALSE)</f>
        <v>#N/A</v>
      </c>
      <c r="O400" s="45" t="e">
        <f t="shared" si="124"/>
        <v>#N/A</v>
      </c>
      <c r="P400" s="34">
        <f>IF(L400="yes", 0, _xlfn.XLOOKUP(F400, 'GHG Emissions Factors'!$B$2:$B$4000, 'GHG Emissions Factors'!$D$2:$D$4000, 0))</f>
        <v>0</v>
      </c>
      <c r="Q400" s="46"/>
      <c r="R400" s="46"/>
      <c r="S400" s="46">
        <f>ProcurementAllocationData[[#This Row],[Net MWhs Procured]]-(ProcurementAllocationData[[#This Row],[Deep Green]]+ProcurementAllocationData[[#This Row],[LocalSol]]+ProcurementAllocationData[[#This Row],[GreenAccess]])</f>
        <v>0</v>
      </c>
      <c r="T400" s="46"/>
      <c r="U400" s="46"/>
      <c r="V400" s="46"/>
      <c r="W400" s="46"/>
      <c r="X400" s="46"/>
      <c r="Y400" s="112">
        <f t="shared" si="125"/>
        <v>0</v>
      </c>
      <c r="Z400" s="150">
        <f t="shared" si="126"/>
        <v>0</v>
      </c>
      <c r="AA400" s="150">
        <f t="shared" si="127"/>
        <v>0</v>
      </c>
      <c r="AB400" s="113">
        <f t="shared" si="128"/>
        <v>0</v>
      </c>
      <c r="AC400" s="36"/>
      <c r="AD400" s="272" t="str">
        <f t="shared" si="129"/>
        <v/>
      </c>
      <c r="AE400" s="273">
        <f t="shared" si="130"/>
        <v>0</v>
      </c>
      <c r="AF400" s="273">
        <f t="shared" si="131"/>
        <v>0</v>
      </c>
      <c r="AG400" s="273">
        <f t="shared" si="132"/>
        <v>0</v>
      </c>
      <c r="AH400" s="273">
        <f t="shared" si="133"/>
        <v>0</v>
      </c>
      <c r="AI400" s="273">
        <f t="shared" si="134"/>
        <v>0</v>
      </c>
      <c r="AJ400" s="273">
        <f t="shared" si="135"/>
        <v>0</v>
      </c>
      <c r="AK400" s="273">
        <f t="shared" si="136"/>
        <v>0</v>
      </c>
      <c r="AL400" s="274">
        <f t="shared" si="137"/>
        <v>0</v>
      </c>
      <c r="AN400" s="75" t="str">
        <f t="shared" si="138"/>
        <v>-</v>
      </c>
      <c r="AO400" s="75" t="str">
        <f t="shared" si="139"/>
        <v>-</v>
      </c>
      <c r="AP400" s="48">
        <f t="shared" si="142"/>
        <v>0</v>
      </c>
      <c r="AQ400" s="48">
        <f t="shared" si="140"/>
        <v>0</v>
      </c>
      <c r="AR400" s="49" t="e">
        <f t="shared" si="141"/>
        <v>#N/A</v>
      </c>
    </row>
    <row r="401" spans="1:44" ht="15">
      <c r="A401" s="38"/>
      <c r="B401" s="38"/>
      <c r="C401" s="38"/>
      <c r="D401" s="38"/>
      <c r="E401" s="38"/>
      <c r="F401" s="38"/>
      <c r="G401" s="47">
        <f t="shared" si="123"/>
        <v>6.5978850116714893E-2</v>
      </c>
      <c r="H401" s="44"/>
      <c r="I401" s="44"/>
      <c r="J401" s="45">
        <f t="shared" si="143"/>
        <v>0</v>
      </c>
      <c r="K401" s="38"/>
      <c r="L401" s="38"/>
      <c r="M401" s="38"/>
      <c r="N401" s="34" t="e">
        <f>VLOOKUP(F401,'GHG Emissions Factors'!$B$2:$C$4000,2,FALSE)</f>
        <v>#N/A</v>
      </c>
      <c r="O401" s="45" t="e">
        <f t="shared" si="124"/>
        <v>#N/A</v>
      </c>
      <c r="P401" s="34">
        <f>IF(L401="yes", 0, _xlfn.XLOOKUP(F401, 'GHG Emissions Factors'!$B$2:$B$4000, 'GHG Emissions Factors'!$D$2:$D$4000, 0))</f>
        <v>0</v>
      </c>
      <c r="Q401" s="46"/>
      <c r="R401" s="46"/>
      <c r="S401" s="46">
        <f>ProcurementAllocationData[[#This Row],[Net MWhs Procured]]-(ProcurementAllocationData[[#This Row],[Deep Green]]+ProcurementAllocationData[[#This Row],[LocalSol]]+ProcurementAllocationData[[#This Row],[GreenAccess]])</f>
        <v>0</v>
      </c>
      <c r="T401" s="46"/>
      <c r="U401" s="46"/>
      <c r="V401" s="46"/>
      <c r="W401" s="46"/>
      <c r="X401" s="46"/>
      <c r="Y401" s="112">
        <f t="shared" si="125"/>
        <v>0</v>
      </c>
      <c r="Z401" s="150">
        <f t="shared" si="126"/>
        <v>0</v>
      </c>
      <c r="AA401" s="150">
        <f t="shared" si="127"/>
        <v>0</v>
      </c>
      <c r="AB401" s="113">
        <f t="shared" si="128"/>
        <v>0</v>
      </c>
      <c r="AC401" s="36"/>
      <c r="AD401" s="272" t="str">
        <f t="shared" si="129"/>
        <v/>
      </c>
      <c r="AE401" s="273">
        <f t="shared" si="130"/>
        <v>0</v>
      </c>
      <c r="AF401" s="273">
        <f t="shared" si="131"/>
        <v>0</v>
      </c>
      <c r="AG401" s="273">
        <f t="shared" si="132"/>
        <v>0</v>
      </c>
      <c r="AH401" s="273">
        <f t="shared" si="133"/>
        <v>0</v>
      </c>
      <c r="AI401" s="273">
        <f t="shared" si="134"/>
        <v>0</v>
      </c>
      <c r="AJ401" s="273">
        <f t="shared" si="135"/>
        <v>0</v>
      </c>
      <c r="AK401" s="273">
        <f t="shared" si="136"/>
        <v>0</v>
      </c>
      <c r="AL401" s="274">
        <f t="shared" si="137"/>
        <v>0</v>
      </c>
      <c r="AN401" s="75" t="str">
        <f t="shared" si="138"/>
        <v>-</v>
      </c>
      <c r="AO401" s="75" t="str">
        <f t="shared" si="139"/>
        <v>-</v>
      </c>
      <c r="AP401" s="48">
        <f t="shared" si="142"/>
        <v>0</v>
      </c>
      <c r="AQ401" s="48">
        <f t="shared" si="140"/>
        <v>0</v>
      </c>
      <c r="AR401" s="49" t="e">
        <f t="shared" si="141"/>
        <v>#N/A</v>
      </c>
    </row>
    <row r="402" spans="1:44" ht="15">
      <c r="A402" s="38"/>
      <c r="B402" s="38"/>
      <c r="C402" s="38"/>
      <c r="D402" s="38"/>
      <c r="E402" s="38"/>
      <c r="F402" s="38"/>
      <c r="G402" s="47">
        <f t="shared" si="123"/>
        <v>6.5978850116714893E-2</v>
      </c>
      <c r="H402" s="44"/>
      <c r="I402" s="44"/>
      <c r="J402" s="45">
        <f t="shared" si="143"/>
        <v>0</v>
      </c>
      <c r="K402" s="38"/>
      <c r="L402" s="38"/>
      <c r="M402" s="38"/>
      <c r="N402" s="34" t="e">
        <f>VLOOKUP(F402,'GHG Emissions Factors'!$B$2:$C$4000,2,FALSE)</f>
        <v>#N/A</v>
      </c>
      <c r="O402" s="45" t="e">
        <f t="shared" si="124"/>
        <v>#N/A</v>
      </c>
      <c r="P402" s="34">
        <f>IF(L402="yes", 0, _xlfn.XLOOKUP(F402, 'GHG Emissions Factors'!$B$2:$B$4000, 'GHG Emissions Factors'!$D$2:$D$4000, 0))</f>
        <v>0</v>
      </c>
      <c r="Q402" s="46"/>
      <c r="R402" s="46"/>
      <c r="S402" s="46">
        <f>ProcurementAllocationData[[#This Row],[Net MWhs Procured]]-(ProcurementAllocationData[[#This Row],[Deep Green]]+ProcurementAllocationData[[#This Row],[LocalSol]]+ProcurementAllocationData[[#This Row],[GreenAccess]])</f>
        <v>0</v>
      </c>
      <c r="T402" s="46"/>
      <c r="U402" s="46"/>
      <c r="V402" s="46"/>
      <c r="W402" s="46"/>
      <c r="X402" s="46"/>
      <c r="Y402" s="112">
        <f t="shared" si="125"/>
        <v>0</v>
      </c>
      <c r="Z402" s="150">
        <f t="shared" si="126"/>
        <v>0</v>
      </c>
      <c r="AA402" s="150">
        <f t="shared" si="127"/>
        <v>0</v>
      </c>
      <c r="AB402" s="113">
        <f t="shared" si="128"/>
        <v>0</v>
      </c>
      <c r="AC402" s="36"/>
      <c r="AD402" s="272" t="str">
        <f t="shared" si="129"/>
        <v/>
      </c>
      <c r="AE402" s="273">
        <f t="shared" si="130"/>
        <v>0</v>
      </c>
      <c r="AF402" s="273">
        <f t="shared" si="131"/>
        <v>0</v>
      </c>
      <c r="AG402" s="273">
        <f t="shared" si="132"/>
        <v>0</v>
      </c>
      <c r="AH402" s="273">
        <f t="shared" si="133"/>
        <v>0</v>
      </c>
      <c r="AI402" s="273">
        <f t="shared" si="134"/>
        <v>0</v>
      </c>
      <c r="AJ402" s="273">
        <f t="shared" si="135"/>
        <v>0</v>
      </c>
      <c r="AK402" s="273">
        <f t="shared" si="136"/>
        <v>0</v>
      </c>
      <c r="AL402" s="274">
        <f t="shared" si="137"/>
        <v>0</v>
      </c>
      <c r="AN402" s="75" t="str">
        <f t="shared" si="138"/>
        <v>-</v>
      </c>
      <c r="AO402" s="75" t="str">
        <f t="shared" si="139"/>
        <v>-</v>
      </c>
      <c r="AP402" s="48">
        <f t="shared" si="142"/>
        <v>0</v>
      </c>
      <c r="AQ402" s="48">
        <f t="shared" si="140"/>
        <v>0</v>
      </c>
      <c r="AR402" s="49" t="e">
        <f t="shared" si="141"/>
        <v>#N/A</v>
      </c>
    </row>
    <row r="403" spans="1:44" ht="15">
      <c r="A403" s="38"/>
      <c r="B403" s="38"/>
      <c r="C403" s="38"/>
      <c r="D403" s="38"/>
      <c r="E403" s="38"/>
      <c r="F403" s="38"/>
      <c r="G403" s="47">
        <f t="shared" si="123"/>
        <v>6.5978850116714893E-2</v>
      </c>
      <c r="H403" s="44"/>
      <c r="I403" s="44"/>
      <c r="J403" s="45">
        <f t="shared" si="143"/>
        <v>0</v>
      </c>
      <c r="K403" s="38"/>
      <c r="L403" s="38"/>
      <c r="M403" s="38"/>
      <c r="N403" s="34" t="e">
        <f>VLOOKUP(F403,'GHG Emissions Factors'!$B$2:$C$4000,2,FALSE)</f>
        <v>#N/A</v>
      </c>
      <c r="O403" s="45" t="e">
        <f t="shared" si="124"/>
        <v>#N/A</v>
      </c>
      <c r="P403" s="34">
        <f>IF(L403="yes", 0, _xlfn.XLOOKUP(F403, 'GHG Emissions Factors'!$B$2:$B$4000, 'GHG Emissions Factors'!$D$2:$D$4000, 0))</f>
        <v>0</v>
      </c>
      <c r="Q403" s="46"/>
      <c r="R403" s="46"/>
      <c r="S403" s="46">
        <f>ProcurementAllocationData[[#This Row],[Net MWhs Procured]]-(ProcurementAllocationData[[#This Row],[Deep Green]]+ProcurementAllocationData[[#This Row],[LocalSol]]+ProcurementAllocationData[[#This Row],[GreenAccess]])</f>
        <v>0</v>
      </c>
      <c r="T403" s="46"/>
      <c r="U403" s="46"/>
      <c r="V403" s="46"/>
      <c r="W403" s="46"/>
      <c r="X403" s="46"/>
      <c r="Y403" s="112">
        <f t="shared" si="125"/>
        <v>0</v>
      </c>
      <c r="Z403" s="150">
        <f t="shared" si="126"/>
        <v>0</v>
      </c>
      <c r="AA403" s="150">
        <f t="shared" si="127"/>
        <v>0</v>
      </c>
      <c r="AB403" s="113">
        <f t="shared" si="128"/>
        <v>0</v>
      </c>
      <c r="AC403" s="36"/>
      <c r="AD403" s="272" t="str">
        <f t="shared" si="129"/>
        <v/>
      </c>
      <c r="AE403" s="273">
        <f t="shared" si="130"/>
        <v>0</v>
      </c>
      <c r="AF403" s="273">
        <f t="shared" si="131"/>
        <v>0</v>
      </c>
      <c r="AG403" s="273">
        <f t="shared" si="132"/>
        <v>0</v>
      </c>
      <c r="AH403" s="273">
        <f t="shared" si="133"/>
        <v>0</v>
      </c>
      <c r="AI403" s="273">
        <f t="shared" si="134"/>
        <v>0</v>
      </c>
      <c r="AJ403" s="273">
        <f t="shared" si="135"/>
        <v>0</v>
      </c>
      <c r="AK403" s="273">
        <f t="shared" si="136"/>
        <v>0</v>
      </c>
      <c r="AL403" s="274">
        <f t="shared" si="137"/>
        <v>0</v>
      </c>
      <c r="AN403" s="75" t="str">
        <f t="shared" si="138"/>
        <v>-</v>
      </c>
      <c r="AO403" s="75" t="str">
        <f t="shared" si="139"/>
        <v>-</v>
      </c>
      <c r="AP403" s="48">
        <f t="shared" si="142"/>
        <v>0</v>
      </c>
      <c r="AQ403" s="48">
        <f t="shared" si="140"/>
        <v>0</v>
      </c>
      <c r="AR403" s="49" t="e">
        <f t="shared" si="141"/>
        <v>#N/A</v>
      </c>
    </row>
    <row r="404" spans="1:44" ht="15">
      <c r="A404" s="38"/>
      <c r="B404" s="38"/>
      <c r="C404" s="38"/>
      <c r="D404" s="38"/>
      <c r="E404" s="38"/>
      <c r="F404" s="38"/>
      <c r="G404" s="47">
        <f t="shared" si="123"/>
        <v>6.5978850116714893E-2</v>
      </c>
      <c r="H404" s="44"/>
      <c r="I404" s="44"/>
      <c r="J404" s="45">
        <f t="shared" si="143"/>
        <v>0</v>
      </c>
      <c r="K404" s="38"/>
      <c r="L404" s="38"/>
      <c r="M404" s="38"/>
      <c r="N404" s="34" t="e">
        <f>VLOOKUP(F404,'GHG Emissions Factors'!$B$2:$C$4000,2,FALSE)</f>
        <v>#N/A</v>
      </c>
      <c r="O404" s="45" t="e">
        <f t="shared" si="124"/>
        <v>#N/A</v>
      </c>
      <c r="P404" s="34">
        <f>IF(L404="yes", 0, _xlfn.XLOOKUP(F404, 'GHG Emissions Factors'!$B$2:$B$4000, 'GHG Emissions Factors'!$D$2:$D$4000, 0))</f>
        <v>0</v>
      </c>
      <c r="Q404" s="46"/>
      <c r="R404" s="46"/>
      <c r="S404" s="46">
        <f>ProcurementAllocationData[[#This Row],[Net MWhs Procured]]-(ProcurementAllocationData[[#This Row],[Deep Green]]+ProcurementAllocationData[[#This Row],[LocalSol]]+ProcurementAllocationData[[#This Row],[GreenAccess]])</f>
        <v>0</v>
      </c>
      <c r="T404" s="46"/>
      <c r="U404" s="46"/>
      <c r="V404" s="46"/>
      <c r="W404" s="46"/>
      <c r="X404" s="46"/>
      <c r="Y404" s="112">
        <f t="shared" si="125"/>
        <v>0</v>
      </c>
      <c r="Z404" s="150">
        <f t="shared" si="126"/>
        <v>0</v>
      </c>
      <c r="AA404" s="150">
        <f t="shared" si="127"/>
        <v>0</v>
      </c>
      <c r="AB404" s="113">
        <f t="shared" si="128"/>
        <v>0</v>
      </c>
      <c r="AC404" s="36"/>
      <c r="AD404" s="272" t="str">
        <f t="shared" si="129"/>
        <v/>
      </c>
      <c r="AE404" s="273">
        <f t="shared" si="130"/>
        <v>0</v>
      </c>
      <c r="AF404" s="273">
        <f t="shared" si="131"/>
        <v>0</v>
      </c>
      <c r="AG404" s="273">
        <f t="shared" si="132"/>
        <v>0</v>
      </c>
      <c r="AH404" s="273">
        <f t="shared" si="133"/>
        <v>0</v>
      </c>
      <c r="AI404" s="273">
        <f t="shared" si="134"/>
        <v>0</v>
      </c>
      <c r="AJ404" s="273">
        <f t="shared" si="135"/>
        <v>0</v>
      </c>
      <c r="AK404" s="273">
        <f t="shared" si="136"/>
        <v>0</v>
      </c>
      <c r="AL404" s="274">
        <f t="shared" si="137"/>
        <v>0</v>
      </c>
      <c r="AN404" s="75" t="str">
        <f t="shared" si="138"/>
        <v>-</v>
      </c>
      <c r="AO404" s="75" t="str">
        <f t="shared" si="139"/>
        <v>-</v>
      </c>
      <c r="AP404" s="48">
        <f t="shared" si="142"/>
        <v>0</v>
      </c>
      <c r="AQ404" s="48">
        <f t="shared" si="140"/>
        <v>0</v>
      </c>
      <c r="AR404" s="49" t="e">
        <f t="shared" si="141"/>
        <v>#N/A</v>
      </c>
    </row>
    <row r="405" spans="1:44" ht="15">
      <c r="A405" s="38"/>
      <c r="B405" s="38"/>
      <c r="C405" s="38"/>
      <c r="D405" s="38"/>
      <c r="E405" s="38"/>
      <c r="F405" s="38"/>
      <c r="G405" s="47">
        <f t="shared" si="123"/>
        <v>6.5978850116714893E-2</v>
      </c>
      <c r="H405" s="44"/>
      <c r="I405" s="44"/>
      <c r="J405" s="45">
        <f t="shared" si="143"/>
        <v>0</v>
      </c>
      <c r="K405" s="38"/>
      <c r="L405" s="38"/>
      <c r="M405" s="38"/>
      <c r="N405" s="34" t="e">
        <f>VLOOKUP(F405,'GHG Emissions Factors'!$B$2:$C$4000,2,FALSE)</f>
        <v>#N/A</v>
      </c>
      <c r="O405" s="45" t="e">
        <f t="shared" si="124"/>
        <v>#N/A</v>
      </c>
      <c r="P405" s="34">
        <f>IF(L405="yes", 0, _xlfn.XLOOKUP(F405, 'GHG Emissions Factors'!$B$2:$B$4000, 'GHG Emissions Factors'!$D$2:$D$4000, 0))</f>
        <v>0</v>
      </c>
      <c r="Q405" s="46"/>
      <c r="R405" s="46"/>
      <c r="S405" s="46">
        <f>ProcurementAllocationData[[#This Row],[Net MWhs Procured]]-(ProcurementAllocationData[[#This Row],[Deep Green]]+ProcurementAllocationData[[#This Row],[LocalSol]]+ProcurementAllocationData[[#This Row],[GreenAccess]])</f>
        <v>0</v>
      </c>
      <c r="T405" s="46"/>
      <c r="U405" s="46"/>
      <c r="V405" s="46"/>
      <c r="W405" s="46"/>
      <c r="X405" s="46"/>
      <c r="Y405" s="112">
        <f t="shared" si="125"/>
        <v>0</v>
      </c>
      <c r="Z405" s="150">
        <f t="shared" si="126"/>
        <v>0</v>
      </c>
      <c r="AA405" s="150">
        <f t="shared" si="127"/>
        <v>0</v>
      </c>
      <c r="AB405" s="113">
        <f t="shared" si="128"/>
        <v>0</v>
      </c>
      <c r="AC405" s="36"/>
      <c r="AD405" s="272" t="str">
        <f t="shared" si="129"/>
        <v/>
      </c>
      <c r="AE405" s="273">
        <f t="shared" si="130"/>
        <v>0</v>
      </c>
      <c r="AF405" s="273">
        <f t="shared" si="131"/>
        <v>0</v>
      </c>
      <c r="AG405" s="273">
        <f t="shared" si="132"/>
        <v>0</v>
      </c>
      <c r="AH405" s="273">
        <f t="shared" si="133"/>
        <v>0</v>
      </c>
      <c r="AI405" s="273">
        <f t="shared" si="134"/>
        <v>0</v>
      </c>
      <c r="AJ405" s="273">
        <f t="shared" si="135"/>
        <v>0</v>
      </c>
      <c r="AK405" s="273">
        <f t="shared" si="136"/>
        <v>0</v>
      </c>
      <c r="AL405" s="274">
        <f t="shared" si="137"/>
        <v>0</v>
      </c>
      <c r="AN405" s="75" t="str">
        <f t="shared" si="138"/>
        <v>-</v>
      </c>
      <c r="AO405" s="75" t="str">
        <f t="shared" si="139"/>
        <v>-</v>
      </c>
      <c r="AP405" s="48">
        <f t="shared" si="142"/>
        <v>0</v>
      </c>
      <c r="AQ405" s="48">
        <f t="shared" si="140"/>
        <v>0</v>
      </c>
      <c r="AR405" s="49" t="e">
        <f t="shared" si="141"/>
        <v>#N/A</v>
      </c>
    </row>
    <row r="406" spans="1:44" ht="15">
      <c r="A406" s="38"/>
      <c r="B406" s="38"/>
      <c r="C406" s="38"/>
      <c r="D406" s="38"/>
      <c r="E406" s="38"/>
      <c r="F406" s="38"/>
      <c r="G406" s="47">
        <f t="shared" si="123"/>
        <v>6.5978850116714893E-2</v>
      </c>
      <c r="H406" s="44"/>
      <c r="I406" s="44"/>
      <c r="J406" s="45">
        <f t="shared" si="143"/>
        <v>0</v>
      </c>
      <c r="K406" s="38"/>
      <c r="L406" s="38"/>
      <c r="M406" s="38"/>
      <c r="N406" s="34" t="e">
        <f>VLOOKUP(F406,'GHG Emissions Factors'!$B$2:$C$4000,2,FALSE)</f>
        <v>#N/A</v>
      </c>
      <c r="O406" s="45" t="e">
        <f t="shared" si="124"/>
        <v>#N/A</v>
      </c>
      <c r="P406" s="34">
        <f>IF(L406="yes", 0, _xlfn.XLOOKUP(F406, 'GHG Emissions Factors'!$B$2:$B$4000, 'GHG Emissions Factors'!$D$2:$D$4000, 0))</f>
        <v>0</v>
      </c>
      <c r="Q406" s="46"/>
      <c r="R406" s="46"/>
      <c r="S406" s="46">
        <f>ProcurementAllocationData[[#This Row],[Net MWhs Procured]]-(ProcurementAllocationData[[#This Row],[Deep Green]]+ProcurementAllocationData[[#This Row],[LocalSol]]+ProcurementAllocationData[[#This Row],[GreenAccess]])</f>
        <v>0</v>
      </c>
      <c r="T406" s="46"/>
      <c r="U406" s="46"/>
      <c r="V406" s="46"/>
      <c r="W406" s="46"/>
      <c r="X406" s="46"/>
      <c r="Y406" s="112">
        <f t="shared" si="125"/>
        <v>0</v>
      </c>
      <c r="Z406" s="150">
        <f t="shared" si="126"/>
        <v>0</v>
      </c>
      <c r="AA406" s="150">
        <f t="shared" si="127"/>
        <v>0</v>
      </c>
      <c r="AB406" s="113">
        <f t="shared" si="128"/>
        <v>0</v>
      </c>
      <c r="AC406" s="36"/>
      <c r="AD406" s="272" t="str">
        <f t="shared" si="129"/>
        <v/>
      </c>
      <c r="AE406" s="273">
        <f t="shared" si="130"/>
        <v>0</v>
      </c>
      <c r="AF406" s="273">
        <f t="shared" si="131"/>
        <v>0</v>
      </c>
      <c r="AG406" s="273">
        <f t="shared" si="132"/>
        <v>0</v>
      </c>
      <c r="AH406" s="273">
        <f t="shared" si="133"/>
        <v>0</v>
      </c>
      <c r="AI406" s="273">
        <f t="shared" si="134"/>
        <v>0</v>
      </c>
      <c r="AJ406" s="273">
        <f t="shared" si="135"/>
        <v>0</v>
      </c>
      <c r="AK406" s="273">
        <f t="shared" si="136"/>
        <v>0</v>
      </c>
      <c r="AL406" s="274">
        <f t="shared" si="137"/>
        <v>0</v>
      </c>
      <c r="AN406" s="75" t="str">
        <f t="shared" si="138"/>
        <v>-</v>
      </c>
      <c r="AO406" s="75" t="str">
        <f t="shared" si="139"/>
        <v>-</v>
      </c>
      <c r="AP406" s="48">
        <f t="shared" si="142"/>
        <v>0</v>
      </c>
      <c r="AQ406" s="48">
        <f t="shared" si="140"/>
        <v>0</v>
      </c>
      <c r="AR406" s="49" t="e">
        <f t="shared" si="141"/>
        <v>#N/A</v>
      </c>
    </row>
    <row r="407" spans="1:44" ht="15">
      <c r="A407" s="38"/>
      <c r="B407" s="38"/>
      <c r="C407" s="38"/>
      <c r="D407" s="38"/>
      <c r="E407" s="38"/>
      <c r="F407" s="38"/>
      <c r="G407" s="47">
        <f t="shared" si="123"/>
        <v>6.5978850116714893E-2</v>
      </c>
      <c r="H407" s="44"/>
      <c r="I407" s="44"/>
      <c r="J407" s="45">
        <f t="shared" si="143"/>
        <v>0</v>
      </c>
      <c r="K407" s="38"/>
      <c r="L407" s="38"/>
      <c r="M407" s="38"/>
      <c r="N407" s="34" t="e">
        <f>VLOOKUP(F407,'GHG Emissions Factors'!$B$2:$C$4000,2,FALSE)</f>
        <v>#N/A</v>
      </c>
      <c r="O407" s="45" t="e">
        <f t="shared" si="124"/>
        <v>#N/A</v>
      </c>
      <c r="P407" s="34">
        <f>IF(L407="yes", 0, _xlfn.XLOOKUP(F407, 'GHG Emissions Factors'!$B$2:$B$4000, 'GHG Emissions Factors'!$D$2:$D$4000, 0))</f>
        <v>0</v>
      </c>
      <c r="Q407" s="46"/>
      <c r="R407" s="46"/>
      <c r="S407" s="46">
        <f>ProcurementAllocationData[[#This Row],[Net MWhs Procured]]-(ProcurementAllocationData[[#This Row],[Deep Green]]+ProcurementAllocationData[[#This Row],[LocalSol]]+ProcurementAllocationData[[#This Row],[GreenAccess]])</f>
        <v>0</v>
      </c>
      <c r="T407" s="46"/>
      <c r="U407" s="46"/>
      <c r="V407" s="46"/>
      <c r="W407" s="46"/>
      <c r="X407" s="46"/>
      <c r="Y407" s="112">
        <f t="shared" si="125"/>
        <v>0</v>
      </c>
      <c r="Z407" s="150">
        <f t="shared" si="126"/>
        <v>0</v>
      </c>
      <c r="AA407" s="150">
        <f t="shared" si="127"/>
        <v>0</v>
      </c>
      <c r="AB407" s="113">
        <f t="shared" si="128"/>
        <v>0</v>
      </c>
      <c r="AC407" s="36"/>
      <c r="AD407" s="272" t="str">
        <f t="shared" si="129"/>
        <v/>
      </c>
      <c r="AE407" s="273">
        <f t="shared" si="130"/>
        <v>0</v>
      </c>
      <c r="AF407" s="273">
        <f t="shared" si="131"/>
        <v>0</v>
      </c>
      <c r="AG407" s="273">
        <f t="shared" si="132"/>
        <v>0</v>
      </c>
      <c r="AH407" s="273">
        <f t="shared" si="133"/>
        <v>0</v>
      </c>
      <c r="AI407" s="273">
        <f t="shared" si="134"/>
        <v>0</v>
      </c>
      <c r="AJ407" s="273">
        <f t="shared" si="135"/>
        <v>0</v>
      </c>
      <c r="AK407" s="273">
        <f t="shared" si="136"/>
        <v>0</v>
      </c>
      <c r="AL407" s="274">
        <f t="shared" si="137"/>
        <v>0</v>
      </c>
      <c r="AN407" s="75" t="str">
        <f t="shared" si="138"/>
        <v>-</v>
      </c>
      <c r="AO407" s="75" t="str">
        <f t="shared" si="139"/>
        <v>-</v>
      </c>
      <c r="AP407" s="48">
        <f t="shared" si="142"/>
        <v>0</v>
      </c>
      <c r="AQ407" s="48">
        <f t="shared" si="140"/>
        <v>0</v>
      </c>
      <c r="AR407" s="49" t="e">
        <f t="shared" si="141"/>
        <v>#N/A</v>
      </c>
    </row>
    <row r="408" spans="1:44" ht="15">
      <c r="A408" s="38"/>
      <c r="B408" s="38"/>
      <c r="C408" s="38"/>
      <c r="D408" s="38"/>
      <c r="E408" s="38"/>
      <c r="F408" s="38"/>
      <c r="G408" s="47">
        <f t="shared" si="123"/>
        <v>6.5978850116714893E-2</v>
      </c>
      <c r="H408" s="44"/>
      <c r="I408" s="44"/>
      <c r="J408" s="45">
        <f t="shared" si="143"/>
        <v>0</v>
      </c>
      <c r="K408" s="38"/>
      <c r="L408" s="38"/>
      <c r="M408" s="38"/>
      <c r="N408" s="34" t="e">
        <f>VLOOKUP(F408,'GHG Emissions Factors'!$B$2:$C$4000,2,FALSE)</f>
        <v>#N/A</v>
      </c>
      <c r="O408" s="45" t="e">
        <f t="shared" si="124"/>
        <v>#N/A</v>
      </c>
      <c r="P408" s="34">
        <f>IF(L408="yes", 0, _xlfn.XLOOKUP(F408, 'GHG Emissions Factors'!$B$2:$B$4000, 'GHG Emissions Factors'!$D$2:$D$4000, 0))</f>
        <v>0</v>
      </c>
      <c r="Q408" s="46"/>
      <c r="R408" s="46"/>
      <c r="S408" s="46">
        <f>ProcurementAllocationData[[#This Row],[Net MWhs Procured]]-(ProcurementAllocationData[[#This Row],[Deep Green]]+ProcurementAllocationData[[#This Row],[LocalSol]]+ProcurementAllocationData[[#This Row],[GreenAccess]])</f>
        <v>0</v>
      </c>
      <c r="T408" s="46"/>
      <c r="U408" s="46"/>
      <c r="V408" s="46"/>
      <c r="W408" s="46"/>
      <c r="X408" s="46"/>
      <c r="Y408" s="112">
        <f t="shared" si="125"/>
        <v>0</v>
      </c>
      <c r="Z408" s="150">
        <f t="shared" si="126"/>
        <v>0</v>
      </c>
      <c r="AA408" s="150">
        <f t="shared" si="127"/>
        <v>0</v>
      </c>
      <c r="AB408" s="113">
        <f t="shared" si="128"/>
        <v>0</v>
      </c>
      <c r="AC408" s="36"/>
      <c r="AD408" s="272" t="str">
        <f t="shared" si="129"/>
        <v/>
      </c>
      <c r="AE408" s="273">
        <f t="shared" si="130"/>
        <v>0</v>
      </c>
      <c r="AF408" s="273">
        <f t="shared" si="131"/>
        <v>0</v>
      </c>
      <c r="AG408" s="273">
        <f t="shared" si="132"/>
        <v>0</v>
      </c>
      <c r="AH408" s="273">
        <f t="shared" si="133"/>
        <v>0</v>
      </c>
      <c r="AI408" s="273">
        <f t="shared" si="134"/>
        <v>0</v>
      </c>
      <c r="AJ408" s="273">
        <f t="shared" si="135"/>
        <v>0</v>
      </c>
      <c r="AK408" s="273">
        <f t="shared" si="136"/>
        <v>0</v>
      </c>
      <c r="AL408" s="274">
        <f t="shared" si="137"/>
        <v>0</v>
      </c>
      <c r="AN408" s="75" t="str">
        <f t="shared" si="138"/>
        <v>-</v>
      </c>
      <c r="AO408" s="75" t="str">
        <f t="shared" si="139"/>
        <v>-</v>
      </c>
      <c r="AP408" s="48">
        <f t="shared" si="142"/>
        <v>0</v>
      </c>
      <c r="AQ408" s="48">
        <f t="shared" si="140"/>
        <v>0</v>
      </c>
      <c r="AR408" s="49" t="e">
        <f t="shared" si="141"/>
        <v>#N/A</v>
      </c>
    </row>
    <row r="409" spans="1:44" ht="15">
      <c r="A409" s="38"/>
      <c r="B409" s="38"/>
      <c r="C409" s="38"/>
      <c r="D409" s="38"/>
      <c r="E409" s="38"/>
      <c r="F409" s="38"/>
      <c r="G409" s="47">
        <f t="shared" si="123"/>
        <v>6.5978850116714893E-2</v>
      </c>
      <c r="H409" s="44"/>
      <c r="I409" s="44"/>
      <c r="J409" s="45">
        <f t="shared" si="143"/>
        <v>0</v>
      </c>
      <c r="K409" s="38"/>
      <c r="L409" s="38"/>
      <c r="M409" s="38"/>
      <c r="N409" s="34" t="e">
        <f>VLOOKUP(F409,'GHG Emissions Factors'!$B$2:$C$4000,2,FALSE)</f>
        <v>#N/A</v>
      </c>
      <c r="O409" s="45" t="e">
        <f t="shared" si="124"/>
        <v>#N/A</v>
      </c>
      <c r="P409" s="34">
        <f>IF(L409="yes", 0, _xlfn.XLOOKUP(F409, 'GHG Emissions Factors'!$B$2:$B$4000, 'GHG Emissions Factors'!$D$2:$D$4000, 0))</f>
        <v>0</v>
      </c>
      <c r="Q409" s="46"/>
      <c r="R409" s="46"/>
      <c r="S409" s="46">
        <f>ProcurementAllocationData[[#This Row],[Net MWhs Procured]]-(ProcurementAllocationData[[#This Row],[Deep Green]]+ProcurementAllocationData[[#This Row],[LocalSol]]+ProcurementAllocationData[[#This Row],[GreenAccess]])</f>
        <v>0</v>
      </c>
      <c r="T409" s="46"/>
      <c r="U409" s="46"/>
      <c r="V409" s="46"/>
      <c r="W409" s="46"/>
      <c r="X409" s="46"/>
      <c r="Y409" s="112">
        <f t="shared" si="125"/>
        <v>0</v>
      </c>
      <c r="Z409" s="150">
        <f t="shared" si="126"/>
        <v>0</v>
      </c>
      <c r="AA409" s="150">
        <f t="shared" si="127"/>
        <v>0</v>
      </c>
      <c r="AB409" s="113">
        <f t="shared" si="128"/>
        <v>0</v>
      </c>
      <c r="AC409" s="36"/>
      <c r="AD409" s="272" t="str">
        <f t="shared" si="129"/>
        <v/>
      </c>
      <c r="AE409" s="273">
        <f t="shared" si="130"/>
        <v>0</v>
      </c>
      <c r="AF409" s="273">
        <f t="shared" si="131"/>
        <v>0</v>
      </c>
      <c r="AG409" s="273">
        <f t="shared" si="132"/>
        <v>0</v>
      </c>
      <c r="AH409" s="273">
        <f t="shared" si="133"/>
        <v>0</v>
      </c>
      <c r="AI409" s="273">
        <f t="shared" si="134"/>
        <v>0</v>
      </c>
      <c r="AJ409" s="273">
        <f t="shared" si="135"/>
        <v>0</v>
      </c>
      <c r="AK409" s="273">
        <f t="shared" si="136"/>
        <v>0</v>
      </c>
      <c r="AL409" s="274">
        <f t="shared" si="137"/>
        <v>0</v>
      </c>
      <c r="AN409" s="75" t="str">
        <f t="shared" si="138"/>
        <v>-</v>
      </c>
      <c r="AO409" s="75" t="str">
        <f t="shared" si="139"/>
        <v>-</v>
      </c>
      <c r="AP409" s="48">
        <f t="shared" si="142"/>
        <v>0</v>
      </c>
      <c r="AQ409" s="48">
        <f t="shared" si="140"/>
        <v>0</v>
      </c>
      <c r="AR409" s="49" t="e">
        <f t="shared" si="141"/>
        <v>#N/A</v>
      </c>
    </row>
    <row r="410" spans="1:44" ht="15">
      <c r="A410" s="38"/>
      <c r="B410" s="38"/>
      <c r="C410" s="38"/>
      <c r="D410" s="38"/>
      <c r="E410" s="38"/>
      <c r="F410" s="38"/>
      <c r="G410" s="47">
        <f t="shared" si="123"/>
        <v>6.5978850116714893E-2</v>
      </c>
      <c r="H410" s="44"/>
      <c r="I410" s="44"/>
      <c r="J410" s="45">
        <f t="shared" si="143"/>
        <v>0</v>
      </c>
      <c r="K410" s="38"/>
      <c r="L410" s="38"/>
      <c r="M410" s="38"/>
      <c r="N410" s="34" t="e">
        <f>VLOOKUP(F410,'GHG Emissions Factors'!$B$2:$C$4000,2,FALSE)</f>
        <v>#N/A</v>
      </c>
      <c r="O410" s="45" t="e">
        <f t="shared" si="124"/>
        <v>#N/A</v>
      </c>
      <c r="P410" s="34">
        <f>IF(L410="yes", 0, _xlfn.XLOOKUP(F410, 'GHG Emissions Factors'!$B$2:$B$4000, 'GHG Emissions Factors'!$D$2:$D$4000, 0))</f>
        <v>0</v>
      </c>
      <c r="Q410" s="46"/>
      <c r="R410" s="46"/>
      <c r="S410" s="46">
        <f>ProcurementAllocationData[[#This Row],[Net MWhs Procured]]-(ProcurementAllocationData[[#This Row],[Deep Green]]+ProcurementAllocationData[[#This Row],[LocalSol]]+ProcurementAllocationData[[#This Row],[GreenAccess]])</f>
        <v>0</v>
      </c>
      <c r="T410" s="46"/>
      <c r="U410" s="46"/>
      <c r="V410" s="46"/>
      <c r="W410" s="46"/>
      <c r="X410" s="46"/>
      <c r="Y410" s="112">
        <f t="shared" si="125"/>
        <v>0</v>
      </c>
      <c r="Z410" s="150">
        <f t="shared" si="126"/>
        <v>0</v>
      </c>
      <c r="AA410" s="150">
        <f t="shared" si="127"/>
        <v>0</v>
      </c>
      <c r="AB410" s="113">
        <f t="shared" si="128"/>
        <v>0</v>
      </c>
      <c r="AC410" s="36"/>
      <c r="AD410" s="272" t="str">
        <f t="shared" si="129"/>
        <v/>
      </c>
      <c r="AE410" s="273">
        <f t="shared" si="130"/>
        <v>0</v>
      </c>
      <c r="AF410" s="273">
        <f t="shared" si="131"/>
        <v>0</v>
      </c>
      <c r="AG410" s="273">
        <f t="shared" si="132"/>
        <v>0</v>
      </c>
      <c r="AH410" s="273">
        <f t="shared" si="133"/>
        <v>0</v>
      </c>
      <c r="AI410" s="273">
        <f t="shared" si="134"/>
        <v>0</v>
      </c>
      <c r="AJ410" s="273">
        <f t="shared" si="135"/>
        <v>0</v>
      </c>
      <c r="AK410" s="273">
        <f t="shared" si="136"/>
        <v>0</v>
      </c>
      <c r="AL410" s="274">
        <f t="shared" si="137"/>
        <v>0</v>
      </c>
      <c r="AN410" s="75" t="str">
        <f t="shared" si="138"/>
        <v>-</v>
      </c>
      <c r="AO410" s="75" t="str">
        <f t="shared" si="139"/>
        <v>-</v>
      </c>
      <c r="AP410" s="48">
        <f t="shared" si="142"/>
        <v>0</v>
      </c>
      <c r="AQ410" s="48">
        <f t="shared" si="140"/>
        <v>0</v>
      </c>
      <c r="AR410" s="49" t="e">
        <f t="shared" si="141"/>
        <v>#N/A</v>
      </c>
    </row>
    <row r="411" spans="1:44" ht="15">
      <c r="A411" s="38"/>
      <c r="B411" s="38"/>
      <c r="C411" s="38"/>
      <c r="D411" s="38"/>
      <c r="E411" s="38"/>
      <c r="F411" s="38"/>
      <c r="G411" s="47">
        <f t="shared" si="123"/>
        <v>6.5978850116714893E-2</v>
      </c>
      <c r="H411" s="44"/>
      <c r="I411" s="44"/>
      <c r="J411" s="45">
        <f t="shared" si="143"/>
        <v>0</v>
      </c>
      <c r="K411" s="38"/>
      <c r="L411" s="38"/>
      <c r="M411" s="38"/>
      <c r="N411" s="34" t="e">
        <f>VLOOKUP(F411,'GHG Emissions Factors'!$B$2:$C$4000,2,FALSE)</f>
        <v>#N/A</v>
      </c>
      <c r="O411" s="45" t="e">
        <f t="shared" si="124"/>
        <v>#N/A</v>
      </c>
      <c r="P411" s="34">
        <f>IF(L411="yes", 0, _xlfn.XLOOKUP(F411, 'GHG Emissions Factors'!$B$2:$B$4000, 'GHG Emissions Factors'!$D$2:$D$4000, 0))</f>
        <v>0</v>
      </c>
      <c r="Q411" s="46"/>
      <c r="R411" s="46"/>
      <c r="S411" s="46">
        <f>ProcurementAllocationData[[#This Row],[Net MWhs Procured]]-(ProcurementAllocationData[[#This Row],[Deep Green]]+ProcurementAllocationData[[#This Row],[LocalSol]]+ProcurementAllocationData[[#This Row],[GreenAccess]])</f>
        <v>0</v>
      </c>
      <c r="T411" s="46"/>
      <c r="U411" s="46"/>
      <c r="V411" s="46"/>
      <c r="W411" s="46"/>
      <c r="X411" s="46"/>
      <c r="Y411" s="112">
        <f t="shared" si="125"/>
        <v>0</v>
      </c>
      <c r="Z411" s="150">
        <f t="shared" si="126"/>
        <v>0</v>
      </c>
      <c r="AA411" s="150">
        <f t="shared" si="127"/>
        <v>0</v>
      </c>
      <c r="AB411" s="113">
        <f t="shared" si="128"/>
        <v>0</v>
      </c>
      <c r="AC411" s="36"/>
      <c r="AD411" s="272" t="str">
        <f t="shared" si="129"/>
        <v/>
      </c>
      <c r="AE411" s="273">
        <f t="shared" si="130"/>
        <v>0</v>
      </c>
      <c r="AF411" s="273">
        <f t="shared" si="131"/>
        <v>0</v>
      </c>
      <c r="AG411" s="273">
        <f t="shared" si="132"/>
        <v>0</v>
      </c>
      <c r="AH411" s="273">
        <f t="shared" si="133"/>
        <v>0</v>
      </c>
      <c r="AI411" s="273">
        <f t="shared" si="134"/>
        <v>0</v>
      </c>
      <c r="AJ411" s="273">
        <f t="shared" si="135"/>
        <v>0</v>
      </c>
      <c r="AK411" s="273">
        <f t="shared" si="136"/>
        <v>0</v>
      </c>
      <c r="AL411" s="274">
        <f t="shared" si="137"/>
        <v>0</v>
      </c>
      <c r="AN411" s="75" t="str">
        <f t="shared" si="138"/>
        <v>-</v>
      </c>
      <c r="AO411" s="75" t="str">
        <f t="shared" si="139"/>
        <v>-</v>
      </c>
      <c r="AP411" s="48">
        <f t="shared" si="142"/>
        <v>0</v>
      </c>
      <c r="AQ411" s="48">
        <f t="shared" si="140"/>
        <v>0</v>
      </c>
      <c r="AR411" s="49" t="e">
        <f t="shared" si="141"/>
        <v>#N/A</v>
      </c>
    </row>
    <row r="412" spans="1:44" ht="15">
      <c r="A412" s="38"/>
      <c r="B412" s="38"/>
      <c r="C412" s="38"/>
      <c r="D412" s="38"/>
      <c r="E412" s="38"/>
      <c r="F412" s="38"/>
      <c r="G412" s="47">
        <f t="shared" ref="G412:G475" si="144">IF(C412="CA",Default_in_state_loss_factor,Default_out_of_state_loss_factor)</f>
        <v>6.5978850116714893E-2</v>
      </c>
      <c r="H412" s="44"/>
      <c r="I412" s="44"/>
      <c r="J412" s="45">
        <f t="shared" si="143"/>
        <v>0</v>
      </c>
      <c r="K412" s="38"/>
      <c r="L412" s="38"/>
      <c r="M412" s="38"/>
      <c r="N412" s="34" t="e">
        <f>VLOOKUP(F412,'GHG Emissions Factors'!$B$2:$C$4000,2,FALSE)</f>
        <v>#N/A</v>
      </c>
      <c r="O412" s="45" t="e">
        <f t="shared" ref="O412:O475" si="145">N412*J412</f>
        <v>#N/A</v>
      </c>
      <c r="P412" s="34">
        <f>IF(L412="yes", 0, _xlfn.XLOOKUP(F412, 'GHG Emissions Factors'!$B$2:$B$4000, 'GHG Emissions Factors'!$D$2:$D$4000, 0))</f>
        <v>0</v>
      </c>
      <c r="Q412" s="46"/>
      <c r="R412" s="46"/>
      <c r="S412" s="46">
        <f>ProcurementAllocationData[[#This Row],[Net MWhs Procured]]-(ProcurementAllocationData[[#This Row],[Deep Green]]+ProcurementAllocationData[[#This Row],[LocalSol]]+ProcurementAllocationData[[#This Row],[GreenAccess]])</f>
        <v>0</v>
      </c>
      <c r="T412" s="46"/>
      <c r="U412" s="46"/>
      <c r="V412" s="46"/>
      <c r="W412" s="46"/>
      <c r="X412" s="46"/>
      <c r="Y412" s="112">
        <f t="shared" ref="Y412:Y475" si="146">ROUND((SUM(Q412:X412)*G412),0)</f>
        <v>0</v>
      </c>
      <c r="Z412" s="150">
        <f t="shared" ref="Z412:Z475" si="147">IF(M412="Yes",Y412,0)</f>
        <v>0</v>
      </c>
      <c r="AA412" s="150">
        <f t="shared" ref="AA412:AA475" si="148">Y412-Z412</f>
        <v>0</v>
      </c>
      <c r="AB412" s="113">
        <f t="shared" ref="AB412:AB475" si="149">J412-(SUM(Q412:X412))</f>
        <v>0</v>
      </c>
      <c r="AC412" s="36"/>
      <c r="AD412" s="272" t="str">
        <f t="shared" ref="AD412:AD475" si="150">IF(ISTEXT(A412),A412,"")</f>
        <v/>
      </c>
      <c r="AE412" s="273">
        <f t="shared" ref="AE412:AE475" si="151">Q412*$P412</f>
        <v>0</v>
      </c>
      <c r="AF412" s="273">
        <f t="shared" ref="AF412:AF475" si="152">R412*$P412</f>
        <v>0</v>
      </c>
      <c r="AG412" s="273">
        <f t="shared" ref="AG412:AG475" si="153">S412*$P412</f>
        <v>0</v>
      </c>
      <c r="AH412" s="273">
        <f t="shared" ref="AH412:AH475" si="154">T412*$P412</f>
        <v>0</v>
      </c>
      <c r="AI412" s="273">
        <f t="shared" ref="AI412:AI475" si="155">U412*$P412</f>
        <v>0</v>
      </c>
      <c r="AJ412" s="273">
        <f t="shared" ref="AJ412:AJ475" si="156">V412*$P412</f>
        <v>0</v>
      </c>
      <c r="AK412" s="273">
        <f t="shared" ref="AK412:AK475" si="157">W412*$P412</f>
        <v>0</v>
      </c>
      <c r="AL412" s="274">
        <f t="shared" ref="AL412:AL475" si="158">(X412*$P412)+(Z412*$P412)</f>
        <v>0</v>
      </c>
      <c r="AN412" s="75" t="str">
        <f t="shared" ref="AN412:AN475" si="159">IF(AB412&gt;0,A412,"-")</f>
        <v>-</v>
      </c>
      <c r="AO412" s="75" t="str">
        <f t="shared" ref="AO412:AO475" si="160">IF(AB412&gt;0,B412,"-")</f>
        <v>-</v>
      </c>
      <c r="AP412" s="48">
        <f t="shared" si="142"/>
        <v>0</v>
      </c>
      <c r="AQ412" s="48">
        <f t="shared" ref="AQ412:AQ475" si="161">AP412*G412</f>
        <v>0</v>
      </c>
      <c r="AR412" s="49" t="e">
        <f t="shared" ref="AR412:AR475" si="162">IF(ISNUMBER(AP412),AP412*N412,0)</f>
        <v>#N/A</v>
      </c>
    </row>
    <row r="413" spans="1:44" ht="15">
      <c r="A413" s="38"/>
      <c r="B413" s="38"/>
      <c r="C413" s="38"/>
      <c r="D413" s="38"/>
      <c r="E413" s="38"/>
      <c r="F413" s="38"/>
      <c r="G413" s="47">
        <f t="shared" si="144"/>
        <v>6.5978850116714893E-2</v>
      </c>
      <c r="H413" s="44"/>
      <c r="I413" s="44"/>
      <c r="J413" s="45">
        <f t="shared" si="143"/>
        <v>0</v>
      </c>
      <c r="K413" s="38"/>
      <c r="L413" s="38"/>
      <c r="M413" s="38"/>
      <c r="N413" s="34" t="e">
        <f>VLOOKUP(F413,'GHG Emissions Factors'!$B$2:$C$4000,2,FALSE)</f>
        <v>#N/A</v>
      </c>
      <c r="O413" s="45" t="e">
        <f t="shared" si="145"/>
        <v>#N/A</v>
      </c>
      <c r="P413" s="34">
        <f>IF(L413="yes", 0, _xlfn.XLOOKUP(F413, 'GHG Emissions Factors'!$B$2:$B$4000, 'GHG Emissions Factors'!$D$2:$D$4000, 0))</f>
        <v>0</v>
      </c>
      <c r="Q413" s="46"/>
      <c r="R413" s="46"/>
      <c r="S413" s="46">
        <f>ProcurementAllocationData[[#This Row],[Net MWhs Procured]]-(ProcurementAllocationData[[#This Row],[Deep Green]]+ProcurementAllocationData[[#This Row],[LocalSol]]+ProcurementAllocationData[[#This Row],[GreenAccess]])</f>
        <v>0</v>
      </c>
      <c r="T413" s="46"/>
      <c r="U413" s="46"/>
      <c r="V413" s="46"/>
      <c r="W413" s="46"/>
      <c r="X413" s="46"/>
      <c r="Y413" s="112">
        <f t="shared" si="146"/>
        <v>0</v>
      </c>
      <c r="Z413" s="150">
        <f t="shared" si="147"/>
        <v>0</v>
      </c>
      <c r="AA413" s="150">
        <f t="shared" si="148"/>
        <v>0</v>
      </c>
      <c r="AB413" s="113">
        <f t="shared" si="149"/>
        <v>0</v>
      </c>
      <c r="AC413" s="36"/>
      <c r="AD413" s="272" t="str">
        <f t="shared" si="150"/>
        <v/>
      </c>
      <c r="AE413" s="273">
        <f t="shared" si="151"/>
        <v>0</v>
      </c>
      <c r="AF413" s="273">
        <f t="shared" si="152"/>
        <v>0</v>
      </c>
      <c r="AG413" s="273">
        <f t="shared" si="153"/>
        <v>0</v>
      </c>
      <c r="AH413" s="273">
        <f t="shared" si="154"/>
        <v>0</v>
      </c>
      <c r="AI413" s="273">
        <f t="shared" si="155"/>
        <v>0</v>
      </c>
      <c r="AJ413" s="273">
        <f t="shared" si="156"/>
        <v>0</v>
      </c>
      <c r="AK413" s="273">
        <f t="shared" si="157"/>
        <v>0</v>
      </c>
      <c r="AL413" s="274">
        <f t="shared" si="158"/>
        <v>0</v>
      </c>
      <c r="AN413" s="75" t="str">
        <f t="shared" si="159"/>
        <v>-</v>
      </c>
      <c r="AO413" s="75" t="str">
        <f t="shared" si="160"/>
        <v>-</v>
      </c>
      <c r="AP413" s="48">
        <f t="shared" ref="AP413:AP476" si="163">IF(AB413&gt;0,AB413,0)</f>
        <v>0</v>
      </c>
      <c r="AQ413" s="48">
        <f t="shared" si="161"/>
        <v>0</v>
      </c>
      <c r="AR413" s="49" t="e">
        <f t="shared" si="162"/>
        <v>#N/A</v>
      </c>
    </row>
    <row r="414" spans="1:44" ht="15">
      <c r="A414" s="38"/>
      <c r="B414" s="38"/>
      <c r="C414" s="38"/>
      <c r="D414" s="38"/>
      <c r="E414" s="38"/>
      <c r="F414" s="38"/>
      <c r="G414" s="47">
        <f t="shared" si="144"/>
        <v>6.5978850116714893E-2</v>
      </c>
      <c r="H414" s="44"/>
      <c r="I414" s="44"/>
      <c r="J414" s="45">
        <f t="shared" si="143"/>
        <v>0</v>
      </c>
      <c r="K414" s="38"/>
      <c r="L414" s="38"/>
      <c r="M414" s="38"/>
      <c r="N414" s="34" t="e">
        <f>VLOOKUP(F414,'GHG Emissions Factors'!$B$2:$C$4000,2,FALSE)</f>
        <v>#N/A</v>
      </c>
      <c r="O414" s="45" t="e">
        <f t="shared" si="145"/>
        <v>#N/A</v>
      </c>
      <c r="P414" s="34">
        <f>IF(L414="yes", 0, _xlfn.XLOOKUP(F414, 'GHG Emissions Factors'!$B$2:$B$4000, 'GHG Emissions Factors'!$D$2:$D$4000, 0))</f>
        <v>0</v>
      </c>
      <c r="Q414" s="46"/>
      <c r="R414" s="46"/>
      <c r="S414" s="46">
        <f>ProcurementAllocationData[[#This Row],[Net MWhs Procured]]-(ProcurementAllocationData[[#This Row],[Deep Green]]+ProcurementAllocationData[[#This Row],[LocalSol]]+ProcurementAllocationData[[#This Row],[GreenAccess]])</f>
        <v>0</v>
      </c>
      <c r="T414" s="46"/>
      <c r="U414" s="46"/>
      <c r="V414" s="46"/>
      <c r="W414" s="46"/>
      <c r="X414" s="46"/>
      <c r="Y414" s="112">
        <f t="shared" si="146"/>
        <v>0</v>
      </c>
      <c r="Z414" s="150">
        <f t="shared" si="147"/>
        <v>0</v>
      </c>
      <c r="AA414" s="150">
        <f t="shared" si="148"/>
        <v>0</v>
      </c>
      <c r="AB414" s="113">
        <f t="shared" si="149"/>
        <v>0</v>
      </c>
      <c r="AC414" s="36"/>
      <c r="AD414" s="272" t="str">
        <f t="shared" si="150"/>
        <v/>
      </c>
      <c r="AE414" s="273">
        <f t="shared" si="151"/>
        <v>0</v>
      </c>
      <c r="AF414" s="273">
        <f t="shared" si="152"/>
        <v>0</v>
      </c>
      <c r="AG414" s="273">
        <f t="shared" si="153"/>
        <v>0</v>
      </c>
      <c r="AH414" s="273">
        <f t="shared" si="154"/>
        <v>0</v>
      </c>
      <c r="AI414" s="273">
        <f t="shared" si="155"/>
        <v>0</v>
      </c>
      <c r="AJ414" s="273">
        <f t="shared" si="156"/>
        <v>0</v>
      </c>
      <c r="AK414" s="273">
        <f t="shared" si="157"/>
        <v>0</v>
      </c>
      <c r="AL414" s="274">
        <f t="shared" si="158"/>
        <v>0</v>
      </c>
      <c r="AN414" s="75" t="str">
        <f t="shared" si="159"/>
        <v>-</v>
      </c>
      <c r="AO414" s="75" t="str">
        <f t="shared" si="160"/>
        <v>-</v>
      </c>
      <c r="AP414" s="48">
        <f t="shared" si="163"/>
        <v>0</v>
      </c>
      <c r="AQ414" s="48">
        <f t="shared" si="161"/>
        <v>0</v>
      </c>
      <c r="AR414" s="49" t="e">
        <f t="shared" si="162"/>
        <v>#N/A</v>
      </c>
    </row>
    <row r="415" spans="1:44" ht="15">
      <c r="A415" s="38"/>
      <c r="B415" s="38"/>
      <c r="C415" s="38"/>
      <c r="D415" s="38"/>
      <c r="E415" s="38"/>
      <c r="F415" s="38"/>
      <c r="G415" s="47">
        <f t="shared" si="144"/>
        <v>6.5978850116714893E-2</v>
      </c>
      <c r="H415" s="44"/>
      <c r="I415" s="44"/>
      <c r="J415" s="45">
        <f t="shared" si="143"/>
        <v>0</v>
      </c>
      <c r="K415" s="38"/>
      <c r="L415" s="38"/>
      <c r="M415" s="38"/>
      <c r="N415" s="34" t="e">
        <f>VLOOKUP(F415,'GHG Emissions Factors'!$B$2:$C$4000,2,FALSE)</f>
        <v>#N/A</v>
      </c>
      <c r="O415" s="45" t="e">
        <f t="shared" si="145"/>
        <v>#N/A</v>
      </c>
      <c r="P415" s="34">
        <f>IF(L415="yes", 0, _xlfn.XLOOKUP(F415, 'GHG Emissions Factors'!$B$2:$B$4000, 'GHG Emissions Factors'!$D$2:$D$4000, 0))</f>
        <v>0</v>
      </c>
      <c r="Q415" s="46"/>
      <c r="R415" s="46"/>
      <c r="S415" s="46">
        <f>ProcurementAllocationData[[#This Row],[Net MWhs Procured]]-(ProcurementAllocationData[[#This Row],[Deep Green]]+ProcurementAllocationData[[#This Row],[LocalSol]]+ProcurementAllocationData[[#This Row],[GreenAccess]])</f>
        <v>0</v>
      </c>
      <c r="T415" s="46"/>
      <c r="U415" s="46"/>
      <c r="V415" s="46"/>
      <c r="W415" s="46"/>
      <c r="X415" s="46"/>
      <c r="Y415" s="112">
        <f t="shared" si="146"/>
        <v>0</v>
      </c>
      <c r="Z415" s="150">
        <f t="shared" si="147"/>
        <v>0</v>
      </c>
      <c r="AA415" s="150">
        <f t="shared" si="148"/>
        <v>0</v>
      </c>
      <c r="AB415" s="113">
        <f t="shared" si="149"/>
        <v>0</v>
      </c>
      <c r="AC415" s="36"/>
      <c r="AD415" s="272" t="str">
        <f t="shared" si="150"/>
        <v/>
      </c>
      <c r="AE415" s="273">
        <f t="shared" si="151"/>
        <v>0</v>
      </c>
      <c r="AF415" s="273">
        <f t="shared" si="152"/>
        <v>0</v>
      </c>
      <c r="AG415" s="273">
        <f t="shared" si="153"/>
        <v>0</v>
      </c>
      <c r="AH415" s="273">
        <f t="shared" si="154"/>
        <v>0</v>
      </c>
      <c r="AI415" s="273">
        <f t="shared" si="155"/>
        <v>0</v>
      </c>
      <c r="AJ415" s="273">
        <f t="shared" si="156"/>
        <v>0</v>
      </c>
      <c r="AK415" s="273">
        <f t="shared" si="157"/>
        <v>0</v>
      </c>
      <c r="AL415" s="274">
        <f t="shared" si="158"/>
        <v>0</v>
      </c>
      <c r="AN415" s="75" t="str">
        <f t="shared" si="159"/>
        <v>-</v>
      </c>
      <c r="AO415" s="75" t="str">
        <f t="shared" si="160"/>
        <v>-</v>
      </c>
      <c r="AP415" s="48">
        <f t="shared" si="163"/>
        <v>0</v>
      </c>
      <c r="AQ415" s="48">
        <f t="shared" si="161"/>
        <v>0</v>
      </c>
      <c r="AR415" s="49" t="e">
        <f t="shared" si="162"/>
        <v>#N/A</v>
      </c>
    </row>
    <row r="416" spans="1:44" ht="15">
      <c r="A416" s="38"/>
      <c r="B416" s="38"/>
      <c r="C416" s="38"/>
      <c r="D416" s="38"/>
      <c r="E416" s="38"/>
      <c r="F416" s="38"/>
      <c r="G416" s="47">
        <f t="shared" si="144"/>
        <v>6.5978850116714893E-2</v>
      </c>
      <c r="H416" s="44"/>
      <c r="I416" s="44"/>
      <c r="J416" s="45">
        <f t="shared" si="143"/>
        <v>0</v>
      </c>
      <c r="K416" s="38"/>
      <c r="L416" s="38"/>
      <c r="M416" s="38"/>
      <c r="N416" s="34" t="e">
        <f>VLOOKUP(F416,'GHG Emissions Factors'!$B$2:$C$4000,2,FALSE)</f>
        <v>#N/A</v>
      </c>
      <c r="O416" s="45" t="e">
        <f t="shared" si="145"/>
        <v>#N/A</v>
      </c>
      <c r="P416" s="34">
        <f>IF(L416="yes", 0, _xlfn.XLOOKUP(F416, 'GHG Emissions Factors'!$B$2:$B$4000, 'GHG Emissions Factors'!$D$2:$D$4000, 0))</f>
        <v>0</v>
      </c>
      <c r="Q416" s="46"/>
      <c r="R416" s="46"/>
      <c r="S416" s="46">
        <f>ProcurementAllocationData[[#This Row],[Net MWhs Procured]]-(ProcurementAllocationData[[#This Row],[Deep Green]]+ProcurementAllocationData[[#This Row],[LocalSol]]+ProcurementAllocationData[[#This Row],[GreenAccess]])</f>
        <v>0</v>
      </c>
      <c r="T416" s="46"/>
      <c r="U416" s="46"/>
      <c r="V416" s="46"/>
      <c r="W416" s="46"/>
      <c r="X416" s="46"/>
      <c r="Y416" s="112">
        <f t="shared" si="146"/>
        <v>0</v>
      </c>
      <c r="Z416" s="150">
        <f t="shared" si="147"/>
        <v>0</v>
      </c>
      <c r="AA416" s="150">
        <f t="shared" si="148"/>
        <v>0</v>
      </c>
      <c r="AB416" s="113">
        <f t="shared" si="149"/>
        <v>0</v>
      </c>
      <c r="AC416" s="36"/>
      <c r="AD416" s="272" t="str">
        <f t="shared" si="150"/>
        <v/>
      </c>
      <c r="AE416" s="273">
        <f t="shared" si="151"/>
        <v>0</v>
      </c>
      <c r="AF416" s="273">
        <f t="shared" si="152"/>
        <v>0</v>
      </c>
      <c r="AG416" s="273">
        <f t="shared" si="153"/>
        <v>0</v>
      </c>
      <c r="AH416" s="273">
        <f t="shared" si="154"/>
        <v>0</v>
      </c>
      <c r="AI416" s="273">
        <f t="shared" si="155"/>
        <v>0</v>
      </c>
      <c r="AJ416" s="273">
        <f t="shared" si="156"/>
        <v>0</v>
      </c>
      <c r="AK416" s="273">
        <f t="shared" si="157"/>
        <v>0</v>
      </c>
      <c r="AL416" s="274">
        <f t="shared" si="158"/>
        <v>0</v>
      </c>
      <c r="AN416" s="75" t="str">
        <f t="shared" si="159"/>
        <v>-</v>
      </c>
      <c r="AO416" s="75" t="str">
        <f t="shared" si="160"/>
        <v>-</v>
      </c>
      <c r="AP416" s="48">
        <f t="shared" si="163"/>
        <v>0</v>
      </c>
      <c r="AQ416" s="48">
        <f t="shared" si="161"/>
        <v>0</v>
      </c>
      <c r="AR416" s="49" t="e">
        <f t="shared" si="162"/>
        <v>#N/A</v>
      </c>
    </row>
    <row r="417" spans="1:44" ht="15">
      <c r="A417" s="38"/>
      <c r="B417" s="38"/>
      <c r="C417" s="38"/>
      <c r="D417" s="38"/>
      <c r="E417" s="38"/>
      <c r="F417" s="38"/>
      <c r="G417" s="47">
        <f t="shared" si="144"/>
        <v>6.5978850116714893E-2</v>
      </c>
      <c r="H417" s="44"/>
      <c r="I417" s="44"/>
      <c r="J417" s="45">
        <f t="shared" si="143"/>
        <v>0</v>
      </c>
      <c r="K417" s="38"/>
      <c r="L417" s="38"/>
      <c r="M417" s="38"/>
      <c r="N417" s="34" t="e">
        <f>VLOOKUP(F417,'GHG Emissions Factors'!$B$2:$C$4000,2,FALSE)</f>
        <v>#N/A</v>
      </c>
      <c r="O417" s="45" t="e">
        <f t="shared" si="145"/>
        <v>#N/A</v>
      </c>
      <c r="P417" s="34">
        <f>IF(L417="yes", 0, _xlfn.XLOOKUP(F417, 'GHG Emissions Factors'!$B$2:$B$4000, 'GHG Emissions Factors'!$D$2:$D$4000, 0))</f>
        <v>0</v>
      </c>
      <c r="Q417" s="46"/>
      <c r="R417" s="46"/>
      <c r="S417" s="46">
        <f>ProcurementAllocationData[[#This Row],[Net MWhs Procured]]-(ProcurementAllocationData[[#This Row],[Deep Green]]+ProcurementAllocationData[[#This Row],[LocalSol]]+ProcurementAllocationData[[#This Row],[GreenAccess]])</f>
        <v>0</v>
      </c>
      <c r="T417" s="46"/>
      <c r="U417" s="46"/>
      <c r="V417" s="46"/>
      <c r="W417" s="46"/>
      <c r="X417" s="46"/>
      <c r="Y417" s="112">
        <f t="shared" si="146"/>
        <v>0</v>
      </c>
      <c r="Z417" s="150">
        <f t="shared" si="147"/>
        <v>0</v>
      </c>
      <c r="AA417" s="150">
        <f t="shared" si="148"/>
        <v>0</v>
      </c>
      <c r="AB417" s="113">
        <f t="shared" si="149"/>
        <v>0</v>
      </c>
      <c r="AC417" s="36"/>
      <c r="AD417" s="272" t="str">
        <f t="shared" si="150"/>
        <v/>
      </c>
      <c r="AE417" s="273">
        <f t="shared" si="151"/>
        <v>0</v>
      </c>
      <c r="AF417" s="273">
        <f t="shared" si="152"/>
        <v>0</v>
      </c>
      <c r="AG417" s="273">
        <f t="shared" si="153"/>
        <v>0</v>
      </c>
      <c r="AH417" s="273">
        <f t="shared" si="154"/>
        <v>0</v>
      </c>
      <c r="AI417" s="273">
        <f t="shared" si="155"/>
        <v>0</v>
      </c>
      <c r="AJ417" s="273">
        <f t="shared" si="156"/>
        <v>0</v>
      </c>
      <c r="AK417" s="273">
        <f t="shared" si="157"/>
        <v>0</v>
      </c>
      <c r="AL417" s="274">
        <f t="shared" si="158"/>
        <v>0</v>
      </c>
      <c r="AN417" s="75" t="str">
        <f t="shared" si="159"/>
        <v>-</v>
      </c>
      <c r="AO417" s="75" t="str">
        <f t="shared" si="160"/>
        <v>-</v>
      </c>
      <c r="AP417" s="48">
        <f t="shared" si="163"/>
        <v>0</v>
      </c>
      <c r="AQ417" s="48">
        <f t="shared" si="161"/>
        <v>0</v>
      </c>
      <c r="AR417" s="49" t="e">
        <f t="shared" si="162"/>
        <v>#N/A</v>
      </c>
    </row>
    <row r="418" spans="1:44" ht="15">
      <c r="A418" s="38"/>
      <c r="B418" s="38"/>
      <c r="C418" s="38"/>
      <c r="D418" s="38"/>
      <c r="E418" s="38"/>
      <c r="F418" s="38"/>
      <c r="G418" s="47">
        <f t="shared" si="144"/>
        <v>6.5978850116714893E-2</v>
      </c>
      <c r="H418" s="44"/>
      <c r="I418" s="44"/>
      <c r="J418" s="45">
        <f t="shared" si="143"/>
        <v>0</v>
      </c>
      <c r="K418" s="38"/>
      <c r="L418" s="38"/>
      <c r="M418" s="38"/>
      <c r="N418" s="34" t="e">
        <f>VLOOKUP(F418,'GHG Emissions Factors'!$B$2:$C$4000,2,FALSE)</f>
        <v>#N/A</v>
      </c>
      <c r="O418" s="45" t="e">
        <f t="shared" si="145"/>
        <v>#N/A</v>
      </c>
      <c r="P418" s="34">
        <f>IF(L418="yes", 0, _xlfn.XLOOKUP(F418, 'GHG Emissions Factors'!$B$2:$B$4000, 'GHG Emissions Factors'!$D$2:$D$4000, 0))</f>
        <v>0</v>
      </c>
      <c r="Q418" s="46"/>
      <c r="R418" s="46"/>
      <c r="S418" s="46">
        <f>ProcurementAllocationData[[#This Row],[Net MWhs Procured]]-(ProcurementAllocationData[[#This Row],[Deep Green]]+ProcurementAllocationData[[#This Row],[LocalSol]]+ProcurementAllocationData[[#This Row],[GreenAccess]])</f>
        <v>0</v>
      </c>
      <c r="T418" s="46"/>
      <c r="U418" s="46"/>
      <c r="V418" s="46"/>
      <c r="W418" s="46"/>
      <c r="X418" s="46"/>
      <c r="Y418" s="112">
        <f t="shared" si="146"/>
        <v>0</v>
      </c>
      <c r="Z418" s="150">
        <f t="shared" si="147"/>
        <v>0</v>
      </c>
      <c r="AA418" s="150">
        <f t="shared" si="148"/>
        <v>0</v>
      </c>
      <c r="AB418" s="113">
        <f t="shared" si="149"/>
        <v>0</v>
      </c>
      <c r="AC418" s="36"/>
      <c r="AD418" s="272" t="str">
        <f t="shared" si="150"/>
        <v/>
      </c>
      <c r="AE418" s="273">
        <f t="shared" si="151"/>
        <v>0</v>
      </c>
      <c r="AF418" s="273">
        <f t="shared" si="152"/>
        <v>0</v>
      </c>
      <c r="AG418" s="273">
        <f t="shared" si="153"/>
        <v>0</v>
      </c>
      <c r="AH418" s="273">
        <f t="shared" si="154"/>
        <v>0</v>
      </c>
      <c r="AI418" s="273">
        <f t="shared" si="155"/>
        <v>0</v>
      </c>
      <c r="AJ418" s="273">
        <f t="shared" si="156"/>
        <v>0</v>
      </c>
      <c r="AK418" s="273">
        <f t="shared" si="157"/>
        <v>0</v>
      </c>
      <c r="AL418" s="274">
        <f t="shared" si="158"/>
        <v>0</v>
      </c>
      <c r="AN418" s="75" t="str">
        <f t="shared" si="159"/>
        <v>-</v>
      </c>
      <c r="AO418" s="75" t="str">
        <f t="shared" si="160"/>
        <v>-</v>
      </c>
      <c r="AP418" s="48">
        <f t="shared" si="163"/>
        <v>0</v>
      </c>
      <c r="AQ418" s="48">
        <f t="shared" si="161"/>
        <v>0</v>
      </c>
      <c r="AR418" s="49" t="e">
        <f t="shared" si="162"/>
        <v>#N/A</v>
      </c>
    </row>
    <row r="419" spans="1:44" ht="15">
      <c r="A419" s="38"/>
      <c r="B419" s="38"/>
      <c r="C419" s="38"/>
      <c r="D419" s="38"/>
      <c r="E419" s="38"/>
      <c r="F419" s="38"/>
      <c r="G419" s="47">
        <f t="shared" si="144"/>
        <v>6.5978850116714893E-2</v>
      </c>
      <c r="H419" s="44"/>
      <c r="I419" s="44"/>
      <c r="J419" s="45">
        <f t="shared" si="143"/>
        <v>0</v>
      </c>
      <c r="K419" s="38"/>
      <c r="L419" s="38"/>
      <c r="M419" s="38"/>
      <c r="N419" s="34" t="e">
        <f>VLOOKUP(F419,'GHG Emissions Factors'!$B$2:$C$4000,2,FALSE)</f>
        <v>#N/A</v>
      </c>
      <c r="O419" s="45" t="e">
        <f t="shared" si="145"/>
        <v>#N/A</v>
      </c>
      <c r="P419" s="34">
        <f>IF(L419="yes", 0, _xlfn.XLOOKUP(F419, 'GHG Emissions Factors'!$B$2:$B$4000, 'GHG Emissions Factors'!$D$2:$D$4000, 0))</f>
        <v>0</v>
      </c>
      <c r="Q419" s="46"/>
      <c r="R419" s="46"/>
      <c r="S419" s="46">
        <f>ProcurementAllocationData[[#This Row],[Net MWhs Procured]]-(ProcurementAllocationData[[#This Row],[Deep Green]]+ProcurementAllocationData[[#This Row],[LocalSol]]+ProcurementAllocationData[[#This Row],[GreenAccess]])</f>
        <v>0</v>
      </c>
      <c r="T419" s="46"/>
      <c r="U419" s="46"/>
      <c r="V419" s="46"/>
      <c r="W419" s="46"/>
      <c r="X419" s="46"/>
      <c r="Y419" s="112">
        <f t="shared" si="146"/>
        <v>0</v>
      </c>
      <c r="Z419" s="150">
        <f t="shared" si="147"/>
        <v>0</v>
      </c>
      <c r="AA419" s="150">
        <f t="shared" si="148"/>
        <v>0</v>
      </c>
      <c r="AB419" s="113">
        <f t="shared" si="149"/>
        <v>0</v>
      </c>
      <c r="AC419" s="36"/>
      <c r="AD419" s="272" t="str">
        <f t="shared" si="150"/>
        <v/>
      </c>
      <c r="AE419" s="273">
        <f t="shared" si="151"/>
        <v>0</v>
      </c>
      <c r="AF419" s="273">
        <f t="shared" si="152"/>
        <v>0</v>
      </c>
      <c r="AG419" s="273">
        <f t="shared" si="153"/>
        <v>0</v>
      </c>
      <c r="AH419" s="273">
        <f t="shared" si="154"/>
        <v>0</v>
      </c>
      <c r="AI419" s="273">
        <f t="shared" si="155"/>
        <v>0</v>
      </c>
      <c r="AJ419" s="273">
        <f t="shared" si="156"/>
        <v>0</v>
      </c>
      <c r="AK419" s="273">
        <f t="shared" si="157"/>
        <v>0</v>
      </c>
      <c r="AL419" s="274">
        <f t="shared" si="158"/>
        <v>0</v>
      </c>
      <c r="AN419" s="75" t="str">
        <f t="shared" si="159"/>
        <v>-</v>
      </c>
      <c r="AO419" s="75" t="str">
        <f t="shared" si="160"/>
        <v>-</v>
      </c>
      <c r="AP419" s="48">
        <f t="shared" si="163"/>
        <v>0</v>
      </c>
      <c r="AQ419" s="48">
        <f t="shared" si="161"/>
        <v>0</v>
      </c>
      <c r="AR419" s="49" t="e">
        <f t="shared" si="162"/>
        <v>#N/A</v>
      </c>
    </row>
    <row r="420" spans="1:44" ht="15">
      <c r="A420" s="38"/>
      <c r="B420" s="38"/>
      <c r="C420" s="38"/>
      <c r="D420" s="38"/>
      <c r="E420" s="38"/>
      <c r="F420" s="38"/>
      <c r="G420" s="47">
        <f t="shared" si="144"/>
        <v>6.5978850116714893E-2</v>
      </c>
      <c r="H420" s="44"/>
      <c r="I420" s="44"/>
      <c r="J420" s="45">
        <f t="shared" si="143"/>
        <v>0</v>
      </c>
      <c r="K420" s="38"/>
      <c r="L420" s="38"/>
      <c r="M420" s="38"/>
      <c r="N420" s="34" t="e">
        <f>VLOOKUP(F420,'GHG Emissions Factors'!$B$2:$C$4000,2,FALSE)</f>
        <v>#N/A</v>
      </c>
      <c r="O420" s="45" t="e">
        <f t="shared" si="145"/>
        <v>#N/A</v>
      </c>
      <c r="P420" s="34">
        <f>IF(L420="yes", 0, _xlfn.XLOOKUP(F420, 'GHG Emissions Factors'!$B$2:$B$4000, 'GHG Emissions Factors'!$D$2:$D$4000, 0))</f>
        <v>0</v>
      </c>
      <c r="Q420" s="46"/>
      <c r="R420" s="46"/>
      <c r="S420" s="46">
        <f>ProcurementAllocationData[[#This Row],[Net MWhs Procured]]-(ProcurementAllocationData[[#This Row],[Deep Green]]+ProcurementAllocationData[[#This Row],[LocalSol]]+ProcurementAllocationData[[#This Row],[GreenAccess]])</f>
        <v>0</v>
      </c>
      <c r="T420" s="46"/>
      <c r="U420" s="46"/>
      <c r="V420" s="46"/>
      <c r="W420" s="46"/>
      <c r="X420" s="46"/>
      <c r="Y420" s="112">
        <f t="shared" si="146"/>
        <v>0</v>
      </c>
      <c r="Z420" s="150">
        <f t="shared" si="147"/>
        <v>0</v>
      </c>
      <c r="AA420" s="150">
        <f t="shared" si="148"/>
        <v>0</v>
      </c>
      <c r="AB420" s="113">
        <f t="shared" si="149"/>
        <v>0</v>
      </c>
      <c r="AC420" s="36"/>
      <c r="AD420" s="272" t="str">
        <f t="shared" si="150"/>
        <v/>
      </c>
      <c r="AE420" s="273">
        <f t="shared" si="151"/>
        <v>0</v>
      </c>
      <c r="AF420" s="273">
        <f t="shared" si="152"/>
        <v>0</v>
      </c>
      <c r="AG420" s="273">
        <f t="shared" si="153"/>
        <v>0</v>
      </c>
      <c r="AH420" s="273">
        <f t="shared" si="154"/>
        <v>0</v>
      </c>
      <c r="AI420" s="273">
        <f t="shared" si="155"/>
        <v>0</v>
      </c>
      <c r="AJ420" s="273">
        <f t="shared" si="156"/>
        <v>0</v>
      </c>
      <c r="AK420" s="273">
        <f t="shared" si="157"/>
        <v>0</v>
      </c>
      <c r="AL420" s="274">
        <f t="shared" si="158"/>
        <v>0</v>
      </c>
      <c r="AN420" s="75" t="str">
        <f t="shared" si="159"/>
        <v>-</v>
      </c>
      <c r="AO420" s="75" t="str">
        <f t="shared" si="160"/>
        <v>-</v>
      </c>
      <c r="AP420" s="48">
        <f t="shared" si="163"/>
        <v>0</v>
      </c>
      <c r="AQ420" s="48">
        <f t="shared" si="161"/>
        <v>0</v>
      </c>
      <c r="AR420" s="49" t="e">
        <f t="shared" si="162"/>
        <v>#N/A</v>
      </c>
    </row>
    <row r="421" spans="1:44" ht="15">
      <c r="A421" s="38"/>
      <c r="B421" s="38"/>
      <c r="C421" s="38"/>
      <c r="D421" s="38"/>
      <c r="E421" s="38"/>
      <c r="F421" s="38"/>
      <c r="G421" s="47">
        <f t="shared" si="144"/>
        <v>6.5978850116714893E-2</v>
      </c>
      <c r="H421" s="44"/>
      <c r="I421" s="44"/>
      <c r="J421" s="45">
        <f t="shared" si="143"/>
        <v>0</v>
      </c>
      <c r="K421" s="38"/>
      <c r="L421" s="38"/>
      <c r="M421" s="38"/>
      <c r="N421" s="34" t="e">
        <f>VLOOKUP(F421,'GHG Emissions Factors'!$B$2:$C$4000,2,FALSE)</f>
        <v>#N/A</v>
      </c>
      <c r="O421" s="45" t="e">
        <f t="shared" si="145"/>
        <v>#N/A</v>
      </c>
      <c r="P421" s="34">
        <f>IF(L421="yes", 0, _xlfn.XLOOKUP(F421, 'GHG Emissions Factors'!$B$2:$B$4000, 'GHG Emissions Factors'!$D$2:$D$4000, 0))</f>
        <v>0</v>
      </c>
      <c r="Q421" s="46"/>
      <c r="R421" s="46"/>
      <c r="S421" s="46">
        <f>ProcurementAllocationData[[#This Row],[Net MWhs Procured]]-(ProcurementAllocationData[[#This Row],[Deep Green]]+ProcurementAllocationData[[#This Row],[LocalSol]]+ProcurementAllocationData[[#This Row],[GreenAccess]])</f>
        <v>0</v>
      </c>
      <c r="T421" s="46"/>
      <c r="U421" s="46"/>
      <c r="V421" s="46"/>
      <c r="W421" s="46"/>
      <c r="X421" s="46"/>
      <c r="Y421" s="112">
        <f t="shared" si="146"/>
        <v>0</v>
      </c>
      <c r="Z421" s="150">
        <f t="shared" si="147"/>
        <v>0</v>
      </c>
      <c r="AA421" s="150">
        <f t="shared" si="148"/>
        <v>0</v>
      </c>
      <c r="AB421" s="113">
        <f t="shared" si="149"/>
        <v>0</v>
      </c>
      <c r="AC421" s="36"/>
      <c r="AD421" s="272" t="str">
        <f t="shared" si="150"/>
        <v/>
      </c>
      <c r="AE421" s="273">
        <f t="shared" si="151"/>
        <v>0</v>
      </c>
      <c r="AF421" s="273">
        <f t="shared" si="152"/>
        <v>0</v>
      </c>
      <c r="AG421" s="273">
        <f t="shared" si="153"/>
        <v>0</v>
      </c>
      <c r="AH421" s="273">
        <f t="shared" si="154"/>
        <v>0</v>
      </c>
      <c r="AI421" s="273">
        <f t="shared" si="155"/>
        <v>0</v>
      </c>
      <c r="AJ421" s="273">
        <f t="shared" si="156"/>
        <v>0</v>
      </c>
      <c r="AK421" s="273">
        <f t="shared" si="157"/>
        <v>0</v>
      </c>
      <c r="AL421" s="274">
        <f t="shared" si="158"/>
        <v>0</v>
      </c>
      <c r="AN421" s="75" t="str">
        <f t="shared" si="159"/>
        <v>-</v>
      </c>
      <c r="AO421" s="75" t="str">
        <f t="shared" si="160"/>
        <v>-</v>
      </c>
      <c r="AP421" s="48">
        <f t="shared" si="163"/>
        <v>0</v>
      </c>
      <c r="AQ421" s="48">
        <f t="shared" si="161"/>
        <v>0</v>
      </c>
      <c r="AR421" s="49" t="e">
        <f t="shared" si="162"/>
        <v>#N/A</v>
      </c>
    </row>
    <row r="422" spans="1:44" ht="15">
      <c r="A422" s="38"/>
      <c r="B422" s="38"/>
      <c r="C422" s="38"/>
      <c r="D422" s="38"/>
      <c r="E422" s="38"/>
      <c r="F422" s="38"/>
      <c r="G422" s="47">
        <f t="shared" si="144"/>
        <v>6.5978850116714893E-2</v>
      </c>
      <c r="H422" s="44"/>
      <c r="I422" s="44"/>
      <c r="J422" s="45">
        <f t="shared" si="143"/>
        <v>0</v>
      </c>
      <c r="K422" s="38"/>
      <c r="L422" s="38"/>
      <c r="M422" s="38"/>
      <c r="N422" s="34" t="e">
        <f>VLOOKUP(F422,'GHG Emissions Factors'!$B$2:$C$4000,2,FALSE)</f>
        <v>#N/A</v>
      </c>
      <c r="O422" s="45" t="e">
        <f t="shared" si="145"/>
        <v>#N/A</v>
      </c>
      <c r="P422" s="34">
        <f>IF(L422="yes", 0, _xlfn.XLOOKUP(F422, 'GHG Emissions Factors'!$B$2:$B$4000, 'GHG Emissions Factors'!$D$2:$D$4000, 0))</f>
        <v>0</v>
      </c>
      <c r="Q422" s="46"/>
      <c r="R422" s="46"/>
      <c r="S422" s="46">
        <f>ProcurementAllocationData[[#This Row],[Net MWhs Procured]]-(ProcurementAllocationData[[#This Row],[Deep Green]]+ProcurementAllocationData[[#This Row],[LocalSol]]+ProcurementAllocationData[[#This Row],[GreenAccess]])</f>
        <v>0</v>
      </c>
      <c r="T422" s="46"/>
      <c r="U422" s="46"/>
      <c r="V422" s="46"/>
      <c r="W422" s="46"/>
      <c r="X422" s="46"/>
      <c r="Y422" s="112">
        <f t="shared" si="146"/>
        <v>0</v>
      </c>
      <c r="Z422" s="150">
        <f t="shared" si="147"/>
        <v>0</v>
      </c>
      <c r="AA422" s="150">
        <f t="shared" si="148"/>
        <v>0</v>
      </c>
      <c r="AB422" s="113">
        <f t="shared" si="149"/>
        <v>0</v>
      </c>
      <c r="AC422" s="36"/>
      <c r="AD422" s="272" t="str">
        <f t="shared" si="150"/>
        <v/>
      </c>
      <c r="AE422" s="273">
        <f t="shared" si="151"/>
        <v>0</v>
      </c>
      <c r="AF422" s="273">
        <f t="shared" si="152"/>
        <v>0</v>
      </c>
      <c r="AG422" s="273">
        <f t="shared" si="153"/>
        <v>0</v>
      </c>
      <c r="AH422" s="273">
        <f t="shared" si="154"/>
        <v>0</v>
      </c>
      <c r="AI422" s="273">
        <f t="shared" si="155"/>
        <v>0</v>
      </c>
      <c r="AJ422" s="273">
        <f t="shared" si="156"/>
        <v>0</v>
      </c>
      <c r="AK422" s="273">
        <f t="shared" si="157"/>
        <v>0</v>
      </c>
      <c r="AL422" s="274">
        <f t="shared" si="158"/>
        <v>0</v>
      </c>
      <c r="AN422" s="75" t="str">
        <f t="shared" si="159"/>
        <v>-</v>
      </c>
      <c r="AO422" s="75" t="str">
        <f t="shared" si="160"/>
        <v>-</v>
      </c>
      <c r="AP422" s="48">
        <f t="shared" si="163"/>
        <v>0</v>
      </c>
      <c r="AQ422" s="48">
        <f t="shared" si="161"/>
        <v>0</v>
      </c>
      <c r="AR422" s="49" t="e">
        <f t="shared" si="162"/>
        <v>#N/A</v>
      </c>
    </row>
    <row r="423" spans="1:44" ht="15">
      <c r="A423" s="38"/>
      <c r="B423" s="38"/>
      <c r="C423" s="38"/>
      <c r="D423" s="38"/>
      <c r="E423" s="38"/>
      <c r="F423" s="38"/>
      <c r="G423" s="47">
        <f t="shared" si="144"/>
        <v>6.5978850116714893E-2</v>
      </c>
      <c r="H423" s="44"/>
      <c r="I423" s="44"/>
      <c r="J423" s="45">
        <f t="shared" si="143"/>
        <v>0</v>
      </c>
      <c r="K423" s="38"/>
      <c r="L423" s="38"/>
      <c r="M423" s="38"/>
      <c r="N423" s="34" t="e">
        <f>VLOOKUP(F423,'GHG Emissions Factors'!$B$2:$C$4000,2,FALSE)</f>
        <v>#N/A</v>
      </c>
      <c r="O423" s="45" t="e">
        <f t="shared" si="145"/>
        <v>#N/A</v>
      </c>
      <c r="P423" s="34">
        <f>IF(L423="yes", 0, _xlfn.XLOOKUP(F423, 'GHG Emissions Factors'!$B$2:$B$4000, 'GHG Emissions Factors'!$D$2:$D$4000, 0))</f>
        <v>0</v>
      </c>
      <c r="Q423" s="46"/>
      <c r="R423" s="46"/>
      <c r="S423" s="46">
        <f>ProcurementAllocationData[[#This Row],[Net MWhs Procured]]-(ProcurementAllocationData[[#This Row],[Deep Green]]+ProcurementAllocationData[[#This Row],[LocalSol]]+ProcurementAllocationData[[#This Row],[GreenAccess]])</f>
        <v>0</v>
      </c>
      <c r="T423" s="46"/>
      <c r="U423" s="46"/>
      <c r="V423" s="46"/>
      <c r="W423" s="46"/>
      <c r="X423" s="46"/>
      <c r="Y423" s="112">
        <f t="shared" si="146"/>
        <v>0</v>
      </c>
      <c r="Z423" s="150">
        <f t="shared" si="147"/>
        <v>0</v>
      </c>
      <c r="AA423" s="150">
        <f t="shared" si="148"/>
        <v>0</v>
      </c>
      <c r="AB423" s="113">
        <f t="shared" si="149"/>
        <v>0</v>
      </c>
      <c r="AC423" s="36"/>
      <c r="AD423" s="272" t="str">
        <f t="shared" si="150"/>
        <v/>
      </c>
      <c r="AE423" s="273">
        <f t="shared" si="151"/>
        <v>0</v>
      </c>
      <c r="AF423" s="273">
        <f t="shared" si="152"/>
        <v>0</v>
      </c>
      <c r="AG423" s="273">
        <f t="shared" si="153"/>
        <v>0</v>
      </c>
      <c r="AH423" s="273">
        <f t="shared" si="154"/>
        <v>0</v>
      </c>
      <c r="AI423" s="273">
        <f t="shared" si="155"/>
        <v>0</v>
      </c>
      <c r="AJ423" s="273">
        <f t="shared" si="156"/>
        <v>0</v>
      </c>
      <c r="AK423" s="273">
        <f t="shared" si="157"/>
        <v>0</v>
      </c>
      <c r="AL423" s="274">
        <f t="shared" si="158"/>
        <v>0</v>
      </c>
      <c r="AN423" s="75" t="str">
        <f t="shared" si="159"/>
        <v>-</v>
      </c>
      <c r="AO423" s="75" t="str">
        <f t="shared" si="160"/>
        <v>-</v>
      </c>
      <c r="AP423" s="48">
        <f t="shared" si="163"/>
        <v>0</v>
      </c>
      <c r="AQ423" s="48">
        <f t="shared" si="161"/>
        <v>0</v>
      </c>
      <c r="AR423" s="49" t="e">
        <f t="shared" si="162"/>
        <v>#N/A</v>
      </c>
    </row>
    <row r="424" spans="1:44" ht="15">
      <c r="A424" s="38"/>
      <c r="B424" s="38"/>
      <c r="C424" s="38"/>
      <c r="D424" s="38"/>
      <c r="E424" s="38"/>
      <c r="F424" s="38"/>
      <c r="G424" s="47">
        <f t="shared" si="144"/>
        <v>6.5978850116714893E-2</v>
      </c>
      <c r="H424" s="44"/>
      <c r="I424" s="44"/>
      <c r="J424" s="45">
        <f t="shared" si="143"/>
        <v>0</v>
      </c>
      <c r="K424" s="38"/>
      <c r="L424" s="38"/>
      <c r="M424" s="38"/>
      <c r="N424" s="34" t="e">
        <f>VLOOKUP(F424,'GHG Emissions Factors'!$B$2:$C$4000,2,FALSE)</f>
        <v>#N/A</v>
      </c>
      <c r="O424" s="45" t="e">
        <f t="shared" si="145"/>
        <v>#N/A</v>
      </c>
      <c r="P424" s="34">
        <f>IF(L424="yes", 0, _xlfn.XLOOKUP(F424, 'GHG Emissions Factors'!$B$2:$B$4000, 'GHG Emissions Factors'!$D$2:$D$4000, 0))</f>
        <v>0</v>
      </c>
      <c r="Q424" s="46"/>
      <c r="R424" s="46"/>
      <c r="S424" s="46">
        <f>ProcurementAllocationData[[#This Row],[Net MWhs Procured]]-(ProcurementAllocationData[[#This Row],[Deep Green]]+ProcurementAllocationData[[#This Row],[LocalSol]]+ProcurementAllocationData[[#This Row],[GreenAccess]])</f>
        <v>0</v>
      </c>
      <c r="T424" s="46"/>
      <c r="U424" s="46"/>
      <c r="V424" s="46"/>
      <c r="W424" s="46"/>
      <c r="X424" s="46"/>
      <c r="Y424" s="112">
        <f t="shared" si="146"/>
        <v>0</v>
      </c>
      <c r="Z424" s="150">
        <f t="shared" si="147"/>
        <v>0</v>
      </c>
      <c r="AA424" s="150">
        <f t="shared" si="148"/>
        <v>0</v>
      </c>
      <c r="AB424" s="113">
        <f t="shared" si="149"/>
        <v>0</v>
      </c>
      <c r="AC424" s="36"/>
      <c r="AD424" s="272" t="str">
        <f t="shared" si="150"/>
        <v/>
      </c>
      <c r="AE424" s="273">
        <f t="shared" si="151"/>
        <v>0</v>
      </c>
      <c r="AF424" s="273">
        <f t="shared" si="152"/>
        <v>0</v>
      </c>
      <c r="AG424" s="273">
        <f t="shared" si="153"/>
        <v>0</v>
      </c>
      <c r="AH424" s="273">
        <f t="shared" si="154"/>
        <v>0</v>
      </c>
      <c r="AI424" s="273">
        <f t="shared" si="155"/>
        <v>0</v>
      </c>
      <c r="AJ424" s="273">
        <f t="shared" si="156"/>
        <v>0</v>
      </c>
      <c r="AK424" s="273">
        <f t="shared" si="157"/>
        <v>0</v>
      </c>
      <c r="AL424" s="274">
        <f t="shared" si="158"/>
        <v>0</v>
      </c>
      <c r="AN424" s="75" t="str">
        <f t="shared" si="159"/>
        <v>-</v>
      </c>
      <c r="AO424" s="75" t="str">
        <f t="shared" si="160"/>
        <v>-</v>
      </c>
      <c r="AP424" s="48">
        <f t="shared" si="163"/>
        <v>0</v>
      </c>
      <c r="AQ424" s="48">
        <f t="shared" si="161"/>
        <v>0</v>
      </c>
      <c r="AR424" s="49" t="e">
        <f t="shared" si="162"/>
        <v>#N/A</v>
      </c>
    </row>
    <row r="425" spans="1:44" ht="15">
      <c r="A425" s="38"/>
      <c r="B425" s="38"/>
      <c r="C425" s="38"/>
      <c r="D425" s="38"/>
      <c r="E425" s="38"/>
      <c r="F425" s="38"/>
      <c r="G425" s="47">
        <f t="shared" si="144"/>
        <v>6.5978850116714893E-2</v>
      </c>
      <c r="H425" s="44"/>
      <c r="I425" s="44"/>
      <c r="J425" s="45">
        <f t="shared" si="143"/>
        <v>0</v>
      </c>
      <c r="K425" s="38"/>
      <c r="L425" s="38"/>
      <c r="M425" s="38"/>
      <c r="N425" s="34" t="e">
        <f>VLOOKUP(F425,'GHG Emissions Factors'!$B$2:$C$4000,2,FALSE)</f>
        <v>#N/A</v>
      </c>
      <c r="O425" s="45" t="e">
        <f t="shared" si="145"/>
        <v>#N/A</v>
      </c>
      <c r="P425" s="34">
        <f>IF(L425="yes", 0, _xlfn.XLOOKUP(F425, 'GHG Emissions Factors'!$B$2:$B$4000, 'GHG Emissions Factors'!$D$2:$D$4000, 0))</f>
        <v>0</v>
      </c>
      <c r="Q425" s="46"/>
      <c r="R425" s="46"/>
      <c r="S425" s="46">
        <f>ProcurementAllocationData[[#This Row],[Net MWhs Procured]]-(ProcurementAllocationData[[#This Row],[Deep Green]]+ProcurementAllocationData[[#This Row],[LocalSol]]+ProcurementAllocationData[[#This Row],[GreenAccess]])</f>
        <v>0</v>
      </c>
      <c r="T425" s="46"/>
      <c r="U425" s="46"/>
      <c r="V425" s="46"/>
      <c r="W425" s="46"/>
      <c r="X425" s="46"/>
      <c r="Y425" s="112">
        <f t="shared" si="146"/>
        <v>0</v>
      </c>
      <c r="Z425" s="150">
        <f t="shared" si="147"/>
        <v>0</v>
      </c>
      <c r="AA425" s="150">
        <f t="shared" si="148"/>
        <v>0</v>
      </c>
      <c r="AB425" s="113">
        <f t="shared" si="149"/>
        <v>0</v>
      </c>
      <c r="AC425" s="36"/>
      <c r="AD425" s="272" t="str">
        <f t="shared" si="150"/>
        <v/>
      </c>
      <c r="AE425" s="273">
        <f t="shared" si="151"/>
        <v>0</v>
      </c>
      <c r="AF425" s="273">
        <f t="shared" si="152"/>
        <v>0</v>
      </c>
      <c r="AG425" s="273">
        <f t="shared" si="153"/>
        <v>0</v>
      </c>
      <c r="AH425" s="273">
        <f t="shared" si="154"/>
        <v>0</v>
      </c>
      <c r="AI425" s="273">
        <f t="shared" si="155"/>
        <v>0</v>
      </c>
      <c r="AJ425" s="273">
        <f t="shared" si="156"/>
        <v>0</v>
      </c>
      <c r="AK425" s="273">
        <f t="shared" si="157"/>
        <v>0</v>
      </c>
      <c r="AL425" s="274">
        <f t="shared" si="158"/>
        <v>0</v>
      </c>
      <c r="AN425" s="75" t="str">
        <f t="shared" si="159"/>
        <v>-</v>
      </c>
      <c r="AO425" s="75" t="str">
        <f t="shared" si="160"/>
        <v>-</v>
      </c>
      <c r="AP425" s="48">
        <f t="shared" si="163"/>
        <v>0</v>
      </c>
      <c r="AQ425" s="48">
        <f t="shared" si="161"/>
        <v>0</v>
      </c>
      <c r="AR425" s="49" t="e">
        <f t="shared" si="162"/>
        <v>#N/A</v>
      </c>
    </row>
    <row r="426" spans="1:44" ht="15">
      <c r="A426" s="38"/>
      <c r="B426" s="38"/>
      <c r="C426" s="38"/>
      <c r="D426" s="38"/>
      <c r="E426" s="38"/>
      <c r="F426" s="38"/>
      <c r="G426" s="47">
        <f t="shared" si="144"/>
        <v>6.5978850116714893E-2</v>
      </c>
      <c r="H426" s="44"/>
      <c r="I426" s="44"/>
      <c r="J426" s="45">
        <f t="shared" si="143"/>
        <v>0</v>
      </c>
      <c r="K426" s="38"/>
      <c r="L426" s="38"/>
      <c r="M426" s="38"/>
      <c r="N426" s="34" t="e">
        <f>VLOOKUP(F426,'GHG Emissions Factors'!$B$2:$C$4000,2,FALSE)</f>
        <v>#N/A</v>
      </c>
      <c r="O426" s="45" t="e">
        <f t="shared" si="145"/>
        <v>#N/A</v>
      </c>
      <c r="P426" s="34">
        <f>IF(L426="yes", 0, _xlfn.XLOOKUP(F426, 'GHG Emissions Factors'!$B$2:$B$4000, 'GHG Emissions Factors'!$D$2:$D$4000, 0))</f>
        <v>0</v>
      </c>
      <c r="Q426" s="46"/>
      <c r="R426" s="46"/>
      <c r="S426" s="46">
        <f>ProcurementAllocationData[[#This Row],[Net MWhs Procured]]-(ProcurementAllocationData[[#This Row],[Deep Green]]+ProcurementAllocationData[[#This Row],[LocalSol]]+ProcurementAllocationData[[#This Row],[GreenAccess]])</f>
        <v>0</v>
      </c>
      <c r="T426" s="46"/>
      <c r="U426" s="46"/>
      <c r="V426" s="46"/>
      <c r="W426" s="46"/>
      <c r="X426" s="46"/>
      <c r="Y426" s="112">
        <f t="shared" si="146"/>
        <v>0</v>
      </c>
      <c r="Z426" s="150">
        <f t="shared" si="147"/>
        <v>0</v>
      </c>
      <c r="AA426" s="150">
        <f t="shared" si="148"/>
        <v>0</v>
      </c>
      <c r="AB426" s="113">
        <f t="shared" si="149"/>
        <v>0</v>
      </c>
      <c r="AC426" s="36"/>
      <c r="AD426" s="272" t="str">
        <f t="shared" si="150"/>
        <v/>
      </c>
      <c r="AE426" s="273">
        <f t="shared" si="151"/>
        <v>0</v>
      </c>
      <c r="AF426" s="273">
        <f t="shared" si="152"/>
        <v>0</v>
      </c>
      <c r="AG426" s="273">
        <f t="shared" si="153"/>
        <v>0</v>
      </c>
      <c r="AH426" s="273">
        <f t="shared" si="154"/>
        <v>0</v>
      </c>
      <c r="AI426" s="273">
        <f t="shared" si="155"/>
        <v>0</v>
      </c>
      <c r="AJ426" s="273">
        <f t="shared" si="156"/>
        <v>0</v>
      </c>
      <c r="AK426" s="273">
        <f t="shared" si="157"/>
        <v>0</v>
      </c>
      <c r="AL426" s="274">
        <f t="shared" si="158"/>
        <v>0</v>
      </c>
      <c r="AN426" s="75" t="str">
        <f t="shared" si="159"/>
        <v>-</v>
      </c>
      <c r="AO426" s="75" t="str">
        <f t="shared" si="160"/>
        <v>-</v>
      </c>
      <c r="AP426" s="48">
        <f t="shared" si="163"/>
        <v>0</v>
      </c>
      <c r="AQ426" s="48">
        <f t="shared" si="161"/>
        <v>0</v>
      </c>
      <c r="AR426" s="49" t="e">
        <f t="shared" si="162"/>
        <v>#N/A</v>
      </c>
    </row>
    <row r="427" spans="1:44" ht="15">
      <c r="A427" s="38"/>
      <c r="B427" s="38"/>
      <c r="C427" s="38"/>
      <c r="D427" s="38"/>
      <c r="E427" s="38"/>
      <c r="F427" s="38"/>
      <c r="G427" s="47">
        <f t="shared" si="144"/>
        <v>6.5978850116714893E-2</v>
      </c>
      <c r="H427" s="44"/>
      <c r="I427" s="44"/>
      <c r="J427" s="45">
        <f t="shared" si="143"/>
        <v>0</v>
      </c>
      <c r="K427" s="38"/>
      <c r="L427" s="38"/>
      <c r="M427" s="38"/>
      <c r="N427" s="34" t="e">
        <f>VLOOKUP(F427,'GHG Emissions Factors'!$B$2:$C$4000,2,FALSE)</f>
        <v>#N/A</v>
      </c>
      <c r="O427" s="45" t="e">
        <f t="shared" si="145"/>
        <v>#N/A</v>
      </c>
      <c r="P427" s="34">
        <f>IF(L427="yes", 0, _xlfn.XLOOKUP(F427, 'GHG Emissions Factors'!$B$2:$B$4000, 'GHG Emissions Factors'!$D$2:$D$4000, 0))</f>
        <v>0</v>
      </c>
      <c r="Q427" s="46"/>
      <c r="R427" s="46"/>
      <c r="S427" s="46">
        <f>ProcurementAllocationData[[#This Row],[Net MWhs Procured]]-(ProcurementAllocationData[[#This Row],[Deep Green]]+ProcurementAllocationData[[#This Row],[LocalSol]]+ProcurementAllocationData[[#This Row],[GreenAccess]])</f>
        <v>0</v>
      </c>
      <c r="T427" s="46"/>
      <c r="U427" s="46"/>
      <c r="V427" s="46"/>
      <c r="W427" s="46"/>
      <c r="X427" s="46"/>
      <c r="Y427" s="112">
        <f t="shared" si="146"/>
        <v>0</v>
      </c>
      <c r="Z427" s="150">
        <f t="shared" si="147"/>
        <v>0</v>
      </c>
      <c r="AA427" s="150">
        <f t="shared" si="148"/>
        <v>0</v>
      </c>
      <c r="AB427" s="113">
        <f t="shared" si="149"/>
        <v>0</v>
      </c>
      <c r="AC427" s="36"/>
      <c r="AD427" s="272" t="str">
        <f t="shared" si="150"/>
        <v/>
      </c>
      <c r="AE427" s="273">
        <f t="shared" si="151"/>
        <v>0</v>
      </c>
      <c r="AF427" s="273">
        <f t="shared" si="152"/>
        <v>0</v>
      </c>
      <c r="AG427" s="273">
        <f t="shared" si="153"/>
        <v>0</v>
      </c>
      <c r="AH427" s="273">
        <f t="shared" si="154"/>
        <v>0</v>
      </c>
      <c r="AI427" s="273">
        <f t="shared" si="155"/>
        <v>0</v>
      </c>
      <c r="AJ427" s="273">
        <f t="shared" si="156"/>
        <v>0</v>
      </c>
      <c r="AK427" s="273">
        <f t="shared" si="157"/>
        <v>0</v>
      </c>
      <c r="AL427" s="274">
        <f t="shared" si="158"/>
        <v>0</v>
      </c>
      <c r="AN427" s="75" t="str">
        <f t="shared" si="159"/>
        <v>-</v>
      </c>
      <c r="AO427" s="75" t="str">
        <f t="shared" si="160"/>
        <v>-</v>
      </c>
      <c r="AP427" s="48">
        <f t="shared" si="163"/>
        <v>0</v>
      </c>
      <c r="AQ427" s="48">
        <f t="shared" si="161"/>
        <v>0</v>
      </c>
      <c r="AR427" s="49" t="e">
        <f t="shared" si="162"/>
        <v>#N/A</v>
      </c>
    </row>
    <row r="428" spans="1:44" ht="15">
      <c r="A428" s="38"/>
      <c r="B428" s="38"/>
      <c r="C428" s="38"/>
      <c r="D428" s="38"/>
      <c r="E428" s="38"/>
      <c r="F428" s="38"/>
      <c r="G428" s="47">
        <f t="shared" si="144"/>
        <v>6.5978850116714893E-2</v>
      </c>
      <c r="H428" s="44"/>
      <c r="I428" s="44"/>
      <c r="J428" s="45">
        <f t="shared" si="143"/>
        <v>0</v>
      </c>
      <c r="K428" s="38"/>
      <c r="L428" s="38"/>
      <c r="M428" s="38"/>
      <c r="N428" s="34" t="e">
        <f>VLOOKUP(F428,'GHG Emissions Factors'!$B$2:$C$4000,2,FALSE)</f>
        <v>#N/A</v>
      </c>
      <c r="O428" s="45" t="e">
        <f t="shared" si="145"/>
        <v>#N/A</v>
      </c>
      <c r="P428" s="34">
        <f>IF(L428="yes", 0, _xlfn.XLOOKUP(F428, 'GHG Emissions Factors'!$B$2:$B$4000, 'GHG Emissions Factors'!$D$2:$D$4000, 0))</f>
        <v>0</v>
      </c>
      <c r="Q428" s="46"/>
      <c r="R428" s="46"/>
      <c r="S428" s="46">
        <f>ProcurementAllocationData[[#This Row],[Net MWhs Procured]]-(ProcurementAllocationData[[#This Row],[Deep Green]]+ProcurementAllocationData[[#This Row],[LocalSol]]+ProcurementAllocationData[[#This Row],[GreenAccess]])</f>
        <v>0</v>
      </c>
      <c r="T428" s="46"/>
      <c r="U428" s="46"/>
      <c r="V428" s="46"/>
      <c r="W428" s="46"/>
      <c r="X428" s="46"/>
      <c r="Y428" s="112">
        <f t="shared" si="146"/>
        <v>0</v>
      </c>
      <c r="Z428" s="150">
        <f t="shared" si="147"/>
        <v>0</v>
      </c>
      <c r="AA428" s="150">
        <f t="shared" si="148"/>
        <v>0</v>
      </c>
      <c r="AB428" s="113">
        <f t="shared" si="149"/>
        <v>0</v>
      </c>
      <c r="AC428" s="36"/>
      <c r="AD428" s="272" t="str">
        <f t="shared" si="150"/>
        <v/>
      </c>
      <c r="AE428" s="273">
        <f t="shared" si="151"/>
        <v>0</v>
      </c>
      <c r="AF428" s="273">
        <f t="shared" si="152"/>
        <v>0</v>
      </c>
      <c r="AG428" s="273">
        <f t="shared" si="153"/>
        <v>0</v>
      </c>
      <c r="AH428" s="273">
        <f t="shared" si="154"/>
        <v>0</v>
      </c>
      <c r="AI428" s="273">
        <f t="shared" si="155"/>
        <v>0</v>
      </c>
      <c r="AJ428" s="273">
        <f t="shared" si="156"/>
        <v>0</v>
      </c>
      <c r="AK428" s="273">
        <f t="shared" si="157"/>
        <v>0</v>
      </c>
      <c r="AL428" s="274">
        <f t="shared" si="158"/>
        <v>0</v>
      </c>
      <c r="AN428" s="75" t="str">
        <f t="shared" si="159"/>
        <v>-</v>
      </c>
      <c r="AO428" s="75" t="str">
        <f t="shared" si="160"/>
        <v>-</v>
      </c>
      <c r="AP428" s="48">
        <f t="shared" si="163"/>
        <v>0</v>
      </c>
      <c r="AQ428" s="48">
        <f t="shared" si="161"/>
        <v>0</v>
      </c>
      <c r="AR428" s="49" t="e">
        <f t="shared" si="162"/>
        <v>#N/A</v>
      </c>
    </row>
    <row r="429" spans="1:44" ht="15">
      <c r="A429" s="38"/>
      <c r="B429" s="38"/>
      <c r="C429" s="38"/>
      <c r="D429" s="38"/>
      <c r="E429" s="38"/>
      <c r="F429" s="38"/>
      <c r="G429" s="47">
        <f t="shared" si="144"/>
        <v>6.5978850116714893E-2</v>
      </c>
      <c r="H429" s="44"/>
      <c r="I429" s="44"/>
      <c r="J429" s="45">
        <f t="shared" si="143"/>
        <v>0</v>
      </c>
      <c r="K429" s="38"/>
      <c r="L429" s="38"/>
      <c r="M429" s="38"/>
      <c r="N429" s="34" t="e">
        <f>VLOOKUP(F429,'GHG Emissions Factors'!$B$2:$C$4000,2,FALSE)</f>
        <v>#N/A</v>
      </c>
      <c r="O429" s="45" t="e">
        <f t="shared" si="145"/>
        <v>#N/A</v>
      </c>
      <c r="P429" s="34">
        <f>IF(L429="yes", 0, _xlfn.XLOOKUP(F429, 'GHG Emissions Factors'!$B$2:$B$4000, 'GHG Emissions Factors'!$D$2:$D$4000, 0))</f>
        <v>0</v>
      </c>
      <c r="Q429" s="46"/>
      <c r="R429" s="46"/>
      <c r="S429" s="46">
        <f>ProcurementAllocationData[[#This Row],[Net MWhs Procured]]-(ProcurementAllocationData[[#This Row],[Deep Green]]+ProcurementAllocationData[[#This Row],[LocalSol]]+ProcurementAllocationData[[#This Row],[GreenAccess]])</f>
        <v>0</v>
      </c>
      <c r="T429" s="46"/>
      <c r="U429" s="46"/>
      <c r="V429" s="46"/>
      <c r="W429" s="46"/>
      <c r="X429" s="46"/>
      <c r="Y429" s="112">
        <f t="shared" si="146"/>
        <v>0</v>
      </c>
      <c r="Z429" s="150">
        <f t="shared" si="147"/>
        <v>0</v>
      </c>
      <c r="AA429" s="150">
        <f t="shared" si="148"/>
        <v>0</v>
      </c>
      <c r="AB429" s="113">
        <f t="shared" si="149"/>
        <v>0</v>
      </c>
      <c r="AC429" s="36"/>
      <c r="AD429" s="272" t="str">
        <f t="shared" si="150"/>
        <v/>
      </c>
      <c r="AE429" s="273">
        <f t="shared" si="151"/>
        <v>0</v>
      </c>
      <c r="AF429" s="273">
        <f t="shared" si="152"/>
        <v>0</v>
      </c>
      <c r="AG429" s="273">
        <f t="shared" si="153"/>
        <v>0</v>
      </c>
      <c r="AH429" s="273">
        <f t="shared" si="154"/>
        <v>0</v>
      </c>
      <c r="AI429" s="273">
        <f t="shared" si="155"/>
        <v>0</v>
      </c>
      <c r="AJ429" s="273">
        <f t="shared" si="156"/>
        <v>0</v>
      </c>
      <c r="AK429" s="273">
        <f t="shared" si="157"/>
        <v>0</v>
      </c>
      <c r="AL429" s="274">
        <f t="shared" si="158"/>
        <v>0</v>
      </c>
      <c r="AN429" s="75" t="str">
        <f t="shared" si="159"/>
        <v>-</v>
      </c>
      <c r="AO429" s="75" t="str">
        <f t="shared" si="160"/>
        <v>-</v>
      </c>
      <c r="AP429" s="48">
        <f t="shared" si="163"/>
        <v>0</v>
      </c>
      <c r="AQ429" s="48">
        <f t="shared" si="161"/>
        <v>0</v>
      </c>
      <c r="AR429" s="49" t="e">
        <f t="shared" si="162"/>
        <v>#N/A</v>
      </c>
    </row>
    <row r="430" spans="1:44" ht="15">
      <c r="A430" s="38"/>
      <c r="B430" s="38"/>
      <c r="C430" s="38"/>
      <c r="D430" s="38"/>
      <c r="E430" s="38"/>
      <c r="F430" s="38"/>
      <c r="G430" s="47">
        <f t="shared" si="144"/>
        <v>6.5978850116714893E-2</v>
      </c>
      <c r="H430" s="44"/>
      <c r="I430" s="44"/>
      <c r="J430" s="45">
        <f t="shared" si="143"/>
        <v>0</v>
      </c>
      <c r="K430" s="38"/>
      <c r="L430" s="38"/>
      <c r="M430" s="38"/>
      <c r="N430" s="34" t="e">
        <f>VLOOKUP(F430,'GHG Emissions Factors'!$B$2:$C$4000,2,FALSE)</f>
        <v>#N/A</v>
      </c>
      <c r="O430" s="45" t="e">
        <f t="shared" si="145"/>
        <v>#N/A</v>
      </c>
      <c r="P430" s="34">
        <f>IF(L430="yes", 0, _xlfn.XLOOKUP(F430, 'GHG Emissions Factors'!$B$2:$B$4000, 'GHG Emissions Factors'!$D$2:$D$4000, 0))</f>
        <v>0</v>
      </c>
      <c r="Q430" s="46"/>
      <c r="R430" s="46"/>
      <c r="S430" s="46">
        <f>ProcurementAllocationData[[#This Row],[Net MWhs Procured]]-(ProcurementAllocationData[[#This Row],[Deep Green]]+ProcurementAllocationData[[#This Row],[LocalSol]]+ProcurementAllocationData[[#This Row],[GreenAccess]])</f>
        <v>0</v>
      </c>
      <c r="T430" s="46"/>
      <c r="U430" s="46"/>
      <c r="V430" s="46"/>
      <c r="W430" s="46"/>
      <c r="X430" s="46"/>
      <c r="Y430" s="112">
        <f t="shared" si="146"/>
        <v>0</v>
      </c>
      <c r="Z430" s="150">
        <f t="shared" si="147"/>
        <v>0</v>
      </c>
      <c r="AA430" s="150">
        <f t="shared" si="148"/>
        <v>0</v>
      </c>
      <c r="AB430" s="113">
        <f t="shared" si="149"/>
        <v>0</v>
      </c>
      <c r="AC430" s="36"/>
      <c r="AD430" s="272" t="str">
        <f t="shared" si="150"/>
        <v/>
      </c>
      <c r="AE430" s="273">
        <f t="shared" si="151"/>
        <v>0</v>
      </c>
      <c r="AF430" s="273">
        <f t="shared" si="152"/>
        <v>0</v>
      </c>
      <c r="AG430" s="273">
        <f t="shared" si="153"/>
        <v>0</v>
      </c>
      <c r="AH430" s="273">
        <f t="shared" si="154"/>
        <v>0</v>
      </c>
      <c r="AI430" s="273">
        <f t="shared" si="155"/>
        <v>0</v>
      </c>
      <c r="AJ430" s="273">
        <f t="shared" si="156"/>
        <v>0</v>
      </c>
      <c r="AK430" s="273">
        <f t="shared" si="157"/>
        <v>0</v>
      </c>
      <c r="AL430" s="274">
        <f t="shared" si="158"/>
        <v>0</v>
      </c>
      <c r="AN430" s="75" t="str">
        <f t="shared" si="159"/>
        <v>-</v>
      </c>
      <c r="AO430" s="75" t="str">
        <f t="shared" si="160"/>
        <v>-</v>
      </c>
      <c r="AP430" s="48">
        <f t="shared" si="163"/>
        <v>0</v>
      </c>
      <c r="AQ430" s="48">
        <f t="shared" si="161"/>
        <v>0</v>
      </c>
      <c r="AR430" s="49" t="e">
        <f t="shared" si="162"/>
        <v>#N/A</v>
      </c>
    </row>
    <row r="431" spans="1:44" ht="15">
      <c r="A431" s="38"/>
      <c r="B431" s="38"/>
      <c r="C431" s="38"/>
      <c r="D431" s="38"/>
      <c r="E431" s="38"/>
      <c r="F431" s="38"/>
      <c r="G431" s="47">
        <f t="shared" si="144"/>
        <v>6.5978850116714893E-2</v>
      </c>
      <c r="H431" s="44"/>
      <c r="I431" s="44"/>
      <c r="J431" s="45">
        <f t="shared" si="143"/>
        <v>0</v>
      </c>
      <c r="K431" s="38"/>
      <c r="L431" s="38"/>
      <c r="M431" s="38"/>
      <c r="N431" s="34" t="e">
        <f>VLOOKUP(F431,'GHG Emissions Factors'!$B$2:$C$4000,2,FALSE)</f>
        <v>#N/A</v>
      </c>
      <c r="O431" s="45" t="e">
        <f t="shared" si="145"/>
        <v>#N/A</v>
      </c>
      <c r="P431" s="34">
        <f>IF(L431="yes", 0, _xlfn.XLOOKUP(F431, 'GHG Emissions Factors'!$B$2:$B$4000, 'GHG Emissions Factors'!$D$2:$D$4000, 0))</f>
        <v>0</v>
      </c>
      <c r="Q431" s="46"/>
      <c r="R431" s="46"/>
      <c r="S431" s="46">
        <f>ProcurementAllocationData[[#This Row],[Net MWhs Procured]]-(ProcurementAllocationData[[#This Row],[Deep Green]]+ProcurementAllocationData[[#This Row],[LocalSol]]+ProcurementAllocationData[[#This Row],[GreenAccess]])</f>
        <v>0</v>
      </c>
      <c r="T431" s="46"/>
      <c r="U431" s="46"/>
      <c r="V431" s="46"/>
      <c r="W431" s="46"/>
      <c r="X431" s="46"/>
      <c r="Y431" s="112">
        <f t="shared" si="146"/>
        <v>0</v>
      </c>
      <c r="Z431" s="150">
        <f t="shared" si="147"/>
        <v>0</v>
      </c>
      <c r="AA431" s="150">
        <f t="shared" si="148"/>
        <v>0</v>
      </c>
      <c r="AB431" s="113">
        <f t="shared" si="149"/>
        <v>0</v>
      </c>
      <c r="AC431" s="36"/>
      <c r="AD431" s="272" t="str">
        <f t="shared" si="150"/>
        <v/>
      </c>
      <c r="AE431" s="273">
        <f t="shared" si="151"/>
        <v>0</v>
      </c>
      <c r="AF431" s="273">
        <f t="shared" si="152"/>
        <v>0</v>
      </c>
      <c r="AG431" s="273">
        <f t="shared" si="153"/>
        <v>0</v>
      </c>
      <c r="AH431" s="273">
        <f t="shared" si="154"/>
        <v>0</v>
      </c>
      <c r="AI431" s="273">
        <f t="shared" si="155"/>
        <v>0</v>
      </c>
      <c r="AJ431" s="273">
        <f t="shared" si="156"/>
        <v>0</v>
      </c>
      <c r="AK431" s="273">
        <f t="shared" si="157"/>
        <v>0</v>
      </c>
      <c r="AL431" s="274">
        <f t="shared" si="158"/>
        <v>0</v>
      </c>
      <c r="AN431" s="75" t="str">
        <f t="shared" si="159"/>
        <v>-</v>
      </c>
      <c r="AO431" s="75" t="str">
        <f t="shared" si="160"/>
        <v>-</v>
      </c>
      <c r="AP431" s="48">
        <f t="shared" si="163"/>
        <v>0</v>
      </c>
      <c r="AQ431" s="48">
        <f t="shared" si="161"/>
        <v>0</v>
      </c>
      <c r="AR431" s="49" t="e">
        <f t="shared" si="162"/>
        <v>#N/A</v>
      </c>
    </row>
    <row r="432" spans="1:44" ht="15">
      <c r="A432" s="38"/>
      <c r="B432" s="38"/>
      <c r="C432" s="38"/>
      <c r="D432" s="38"/>
      <c r="E432" s="38"/>
      <c r="F432" s="38"/>
      <c r="G432" s="47">
        <f t="shared" si="144"/>
        <v>6.5978850116714893E-2</v>
      </c>
      <c r="H432" s="44"/>
      <c r="I432" s="44"/>
      <c r="J432" s="45">
        <f t="shared" si="143"/>
        <v>0</v>
      </c>
      <c r="K432" s="38"/>
      <c r="L432" s="38"/>
      <c r="M432" s="38"/>
      <c r="N432" s="34" t="e">
        <f>VLOOKUP(F432,'GHG Emissions Factors'!$B$2:$C$4000,2,FALSE)</f>
        <v>#N/A</v>
      </c>
      <c r="O432" s="45" t="e">
        <f t="shared" si="145"/>
        <v>#N/A</v>
      </c>
      <c r="P432" s="34">
        <f>IF(L432="yes", 0, _xlfn.XLOOKUP(F432, 'GHG Emissions Factors'!$B$2:$B$4000, 'GHG Emissions Factors'!$D$2:$D$4000, 0))</f>
        <v>0</v>
      </c>
      <c r="Q432" s="46"/>
      <c r="R432" s="46"/>
      <c r="S432" s="46">
        <f>ProcurementAllocationData[[#This Row],[Net MWhs Procured]]-(ProcurementAllocationData[[#This Row],[Deep Green]]+ProcurementAllocationData[[#This Row],[LocalSol]]+ProcurementAllocationData[[#This Row],[GreenAccess]])</f>
        <v>0</v>
      </c>
      <c r="T432" s="46"/>
      <c r="U432" s="46"/>
      <c r="V432" s="46"/>
      <c r="W432" s="46"/>
      <c r="X432" s="46"/>
      <c r="Y432" s="112">
        <f t="shared" si="146"/>
        <v>0</v>
      </c>
      <c r="Z432" s="150">
        <f t="shared" si="147"/>
        <v>0</v>
      </c>
      <c r="AA432" s="150">
        <f t="shared" si="148"/>
        <v>0</v>
      </c>
      <c r="AB432" s="113">
        <f t="shared" si="149"/>
        <v>0</v>
      </c>
      <c r="AC432" s="36"/>
      <c r="AD432" s="272" t="str">
        <f t="shared" si="150"/>
        <v/>
      </c>
      <c r="AE432" s="273">
        <f t="shared" si="151"/>
        <v>0</v>
      </c>
      <c r="AF432" s="273">
        <f t="shared" si="152"/>
        <v>0</v>
      </c>
      <c r="AG432" s="273">
        <f t="shared" si="153"/>
        <v>0</v>
      </c>
      <c r="AH432" s="273">
        <f t="shared" si="154"/>
        <v>0</v>
      </c>
      <c r="AI432" s="273">
        <f t="shared" si="155"/>
        <v>0</v>
      </c>
      <c r="AJ432" s="273">
        <f t="shared" si="156"/>
        <v>0</v>
      </c>
      <c r="AK432" s="273">
        <f t="shared" si="157"/>
        <v>0</v>
      </c>
      <c r="AL432" s="274">
        <f t="shared" si="158"/>
        <v>0</v>
      </c>
      <c r="AN432" s="75" t="str">
        <f t="shared" si="159"/>
        <v>-</v>
      </c>
      <c r="AO432" s="75" t="str">
        <f t="shared" si="160"/>
        <v>-</v>
      </c>
      <c r="AP432" s="48">
        <f t="shared" si="163"/>
        <v>0</v>
      </c>
      <c r="AQ432" s="48">
        <f t="shared" si="161"/>
        <v>0</v>
      </c>
      <c r="AR432" s="49" t="e">
        <f t="shared" si="162"/>
        <v>#N/A</v>
      </c>
    </row>
    <row r="433" spans="1:44" ht="15">
      <c r="A433" s="38"/>
      <c r="B433" s="38"/>
      <c r="C433" s="38"/>
      <c r="D433" s="38"/>
      <c r="E433" s="38"/>
      <c r="F433" s="38"/>
      <c r="G433" s="47">
        <f t="shared" si="144"/>
        <v>6.5978850116714893E-2</v>
      </c>
      <c r="H433" s="44"/>
      <c r="I433" s="44"/>
      <c r="J433" s="45">
        <f t="shared" si="143"/>
        <v>0</v>
      </c>
      <c r="K433" s="38"/>
      <c r="L433" s="38"/>
      <c r="M433" s="38"/>
      <c r="N433" s="34" t="e">
        <f>VLOOKUP(F433,'GHG Emissions Factors'!$B$2:$C$4000,2,FALSE)</f>
        <v>#N/A</v>
      </c>
      <c r="O433" s="45" t="e">
        <f t="shared" si="145"/>
        <v>#N/A</v>
      </c>
      <c r="P433" s="34">
        <f>IF(L433="yes", 0, _xlfn.XLOOKUP(F433, 'GHG Emissions Factors'!$B$2:$B$4000, 'GHG Emissions Factors'!$D$2:$D$4000, 0))</f>
        <v>0</v>
      </c>
      <c r="Q433" s="46"/>
      <c r="R433" s="46"/>
      <c r="S433" s="46">
        <f>ProcurementAllocationData[[#This Row],[Net MWhs Procured]]-(ProcurementAllocationData[[#This Row],[Deep Green]]+ProcurementAllocationData[[#This Row],[LocalSol]]+ProcurementAllocationData[[#This Row],[GreenAccess]])</f>
        <v>0</v>
      </c>
      <c r="T433" s="46"/>
      <c r="U433" s="46"/>
      <c r="V433" s="46"/>
      <c r="W433" s="46"/>
      <c r="X433" s="46"/>
      <c r="Y433" s="112">
        <f t="shared" si="146"/>
        <v>0</v>
      </c>
      <c r="Z433" s="150">
        <f t="shared" si="147"/>
        <v>0</v>
      </c>
      <c r="AA433" s="150">
        <f t="shared" si="148"/>
        <v>0</v>
      </c>
      <c r="AB433" s="113">
        <f t="shared" si="149"/>
        <v>0</v>
      </c>
      <c r="AC433" s="36"/>
      <c r="AD433" s="272" t="str">
        <f t="shared" si="150"/>
        <v/>
      </c>
      <c r="AE433" s="273">
        <f t="shared" si="151"/>
        <v>0</v>
      </c>
      <c r="AF433" s="273">
        <f t="shared" si="152"/>
        <v>0</v>
      </c>
      <c r="AG433" s="273">
        <f t="shared" si="153"/>
        <v>0</v>
      </c>
      <c r="AH433" s="273">
        <f t="shared" si="154"/>
        <v>0</v>
      </c>
      <c r="AI433" s="273">
        <f t="shared" si="155"/>
        <v>0</v>
      </c>
      <c r="AJ433" s="273">
        <f t="shared" si="156"/>
        <v>0</v>
      </c>
      <c r="AK433" s="273">
        <f t="shared" si="157"/>
        <v>0</v>
      </c>
      <c r="AL433" s="274">
        <f t="shared" si="158"/>
        <v>0</v>
      </c>
      <c r="AN433" s="75" t="str">
        <f t="shared" si="159"/>
        <v>-</v>
      </c>
      <c r="AO433" s="75" t="str">
        <f t="shared" si="160"/>
        <v>-</v>
      </c>
      <c r="AP433" s="48">
        <f t="shared" si="163"/>
        <v>0</v>
      </c>
      <c r="AQ433" s="48">
        <f t="shared" si="161"/>
        <v>0</v>
      </c>
      <c r="AR433" s="49" t="e">
        <f t="shared" si="162"/>
        <v>#N/A</v>
      </c>
    </row>
    <row r="434" spans="1:44" ht="15">
      <c r="A434" s="38"/>
      <c r="B434" s="38"/>
      <c r="C434" s="38"/>
      <c r="D434" s="38"/>
      <c r="E434" s="38"/>
      <c r="F434" s="38"/>
      <c r="G434" s="47">
        <f t="shared" si="144"/>
        <v>6.5978850116714893E-2</v>
      </c>
      <c r="H434" s="44"/>
      <c r="I434" s="44"/>
      <c r="J434" s="45">
        <f t="shared" si="143"/>
        <v>0</v>
      </c>
      <c r="K434" s="38"/>
      <c r="L434" s="38"/>
      <c r="M434" s="38"/>
      <c r="N434" s="34" t="e">
        <f>VLOOKUP(F434,'GHG Emissions Factors'!$B$2:$C$4000,2,FALSE)</f>
        <v>#N/A</v>
      </c>
      <c r="O434" s="45" t="e">
        <f t="shared" si="145"/>
        <v>#N/A</v>
      </c>
      <c r="P434" s="34">
        <f>IF(L434="yes", 0, _xlfn.XLOOKUP(F434, 'GHG Emissions Factors'!$B$2:$B$4000, 'GHG Emissions Factors'!$D$2:$D$4000, 0))</f>
        <v>0</v>
      </c>
      <c r="Q434" s="46"/>
      <c r="R434" s="46"/>
      <c r="S434" s="46">
        <f>ProcurementAllocationData[[#This Row],[Net MWhs Procured]]-(ProcurementAllocationData[[#This Row],[Deep Green]]+ProcurementAllocationData[[#This Row],[LocalSol]]+ProcurementAllocationData[[#This Row],[GreenAccess]])</f>
        <v>0</v>
      </c>
      <c r="T434" s="46"/>
      <c r="U434" s="46"/>
      <c r="V434" s="46"/>
      <c r="W434" s="46"/>
      <c r="X434" s="46"/>
      <c r="Y434" s="112">
        <f t="shared" si="146"/>
        <v>0</v>
      </c>
      <c r="Z434" s="150">
        <f t="shared" si="147"/>
        <v>0</v>
      </c>
      <c r="AA434" s="150">
        <f t="shared" si="148"/>
        <v>0</v>
      </c>
      <c r="AB434" s="113">
        <f t="shared" si="149"/>
        <v>0</v>
      </c>
      <c r="AC434" s="36"/>
      <c r="AD434" s="272" t="str">
        <f t="shared" si="150"/>
        <v/>
      </c>
      <c r="AE434" s="273">
        <f t="shared" si="151"/>
        <v>0</v>
      </c>
      <c r="AF434" s="273">
        <f t="shared" si="152"/>
        <v>0</v>
      </c>
      <c r="AG434" s="273">
        <f t="shared" si="153"/>
        <v>0</v>
      </c>
      <c r="AH434" s="273">
        <f t="shared" si="154"/>
        <v>0</v>
      </c>
      <c r="AI434" s="273">
        <f t="shared" si="155"/>
        <v>0</v>
      </c>
      <c r="AJ434" s="273">
        <f t="shared" si="156"/>
        <v>0</v>
      </c>
      <c r="AK434" s="273">
        <f t="shared" si="157"/>
        <v>0</v>
      </c>
      <c r="AL434" s="274">
        <f t="shared" si="158"/>
        <v>0</v>
      </c>
      <c r="AN434" s="75" t="str">
        <f t="shared" si="159"/>
        <v>-</v>
      </c>
      <c r="AO434" s="75" t="str">
        <f t="shared" si="160"/>
        <v>-</v>
      </c>
      <c r="AP434" s="48">
        <f t="shared" si="163"/>
        <v>0</v>
      </c>
      <c r="AQ434" s="48">
        <f t="shared" si="161"/>
        <v>0</v>
      </c>
      <c r="AR434" s="49" t="e">
        <f t="shared" si="162"/>
        <v>#N/A</v>
      </c>
    </row>
    <row r="435" spans="1:44" ht="15">
      <c r="A435" s="38"/>
      <c r="B435" s="38"/>
      <c r="C435" s="38"/>
      <c r="D435" s="38"/>
      <c r="E435" s="38"/>
      <c r="F435" s="38"/>
      <c r="G435" s="47">
        <f t="shared" si="144"/>
        <v>6.5978850116714893E-2</v>
      </c>
      <c r="H435" s="44"/>
      <c r="I435" s="44"/>
      <c r="J435" s="45">
        <f t="shared" si="143"/>
        <v>0</v>
      </c>
      <c r="K435" s="38"/>
      <c r="L435" s="38"/>
      <c r="M435" s="38"/>
      <c r="N435" s="34" t="e">
        <f>VLOOKUP(F435,'GHG Emissions Factors'!$B$2:$C$4000,2,FALSE)</f>
        <v>#N/A</v>
      </c>
      <c r="O435" s="45" t="e">
        <f t="shared" si="145"/>
        <v>#N/A</v>
      </c>
      <c r="P435" s="34">
        <f>IF(L435="yes", 0, _xlfn.XLOOKUP(F435, 'GHG Emissions Factors'!$B$2:$B$4000, 'GHG Emissions Factors'!$D$2:$D$4000, 0))</f>
        <v>0</v>
      </c>
      <c r="Q435" s="46"/>
      <c r="R435" s="46"/>
      <c r="S435" s="46">
        <f>ProcurementAllocationData[[#This Row],[Net MWhs Procured]]-(ProcurementAllocationData[[#This Row],[Deep Green]]+ProcurementAllocationData[[#This Row],[LocalSol]]+ProcurementAllocationData[[#This Row],[GreenAccess]])</f>
        <v>0</v>
      </c>
      <c r="T435" s="46"/>
      <c r="U435" s="46"/>
      <c r="V435" s="46"/>
      <c r="W435" s="46"/>
      <c r="X435" s="46"/>
      <c r="Y435" s="112">
        <f t="shared" si="146"/>
        <v>0</v>
      </c>
      <c r="Z435" s="150">
        <f t="shared" si="147"/>
        <v>0</v>
      </c>
      <c r="AA435" s="150">
        <f t="shared" si="148"/>
        <v>0</v>
      </c>
      <c r="AB435" s="113">
        <f t="shared" si="149"/>
        <v>0</v>
      </c>
      <c r="AC435" s="36"/>
      <c r="AD435" s="272" t="str">
        <f t="shared" si="150"/>
        <v/>
      </c>
      <c r="AE435" s="273">
        <f t="shared" si="151"/>
        <v>0</v>
      </c>
      <c r="AF435" s="273">
        <f t="shared" si="152"/>
        <v>0</v>
      </c>
      <c r="AG435" s="273">
        <f t="shared" si="153"/>
        <v>0</v>
      </c>
      <c r="AH435" s="273">
        <f t="shared" si="154"/>
        <v>0</v>
      </c>
      <c r="AI435" s="273">
        <f t="shared" si="155"/>
        <v>0</v>
      </c>
      <c r="AJ435" s="273">
        <f t="shared" si="156"/>
        <v>0</v>
      </c>
      <c r="AK435" s="273">
        <f t="shared" si="157"/>
        <v>0</v>
      </c>
      <c r="AL435" s="274">
        <f t="shared" si="158"/>
        <v>0</v>
      </c>
      <c r="AN435" s="75" t="str">
        <f t="shared" si="159"/>
        <v>-</v>
      </c>
      <c r="AO435" s="75" t="str">
        <f t="shared" si="160"/>
        <v>-</v>
      </c>
      <c r="AP435" s="48">
        <f t="shared" si="163"/>
        <v>0</v>
      </c>
      <c r="AQ435" s="48">
        <f t="shared" si="161"/>
        <v>0</v>
      </c>
      <c r="AR435" s="49" t="e">
        <f t="shared" si="162"/>
        <v>#N/A</v>
      </c>
    </row>
    <row r="436" spans="1:44" ht="15">
      <c r="A436" s="38"/>
      <c r="B436" s="38"/>
      <c r="C436" s="38"/>
      <c r="D436" s="38"/>
      <c r="E436" s="38"/>
      <c r="F436" s="38"/>
      <c r="G436" s="47">
        <f t="shared" si="144"/>
        <v>6.5978850116714893E-2</v>
      </c>
      <c r="H436" s="44"/>
      <c r="I436" s="44"/>
      <c r="J436" s="45">
        <f t="shared" ref="J436:J499" si="164">H436-I436</f>
        <v>0</v>
      </c>
      <c r="K436" s="38"/>
      <c r="L436" s="38"/>
      <c r="M436" s="38"/>
      <c r="N436" s="34" t="e">
        <f>VLOOKUP(F436,'GHG Emissions Factors'!$B$2:$C$4000,2,FALSE)</f>
        <v>#N/A</v>
      </c>
      <c r="O436" s="45" t="e">
        <f t="shared" si="145"/>
        <v>#N/A</v>
      </c>
      <c r="P436" s="34">
        <f>IF(L436="yes", 0, _xlfn.XLOOKUP(F436, 'GHG Emissions Factors'!$B$2:$B$4000, 'GHG Emissions Factors'!$D$2:$D$4000, 0))</f>
        <v>0</v>
      </c>
      <c r="Q436" s="46"/>
      <c r="R436" s="46"/>
      <c r="S436" s="46">
        <f>ProcurementAllocationData[[#This Row],[Net MWhs Procured]]-(ProcurementAllocationData[[#This Row],[Deep Green]]+ProcurementAllocationData[[#This Row],[LocalSol]]+ProcurementAllocationData[[#This Row],[GreenAccess]])</f>
        <v>0</v>
      </c>
      <c r="T436" s="46"/>
      <c r="U436" s="46"/>
      <c r="V436" s="46"/>
      <c r="W436" s="46"/>
      <c r="X436" s="46"/>
      <c r="Y436" s="112">
        <f t="shared" si="146"/>
        <v>0</v>
      </c>
      <c r="Z436" s="150">
        <f t="shared" si="147"/>
        <v>0</v>
      </c>
      <c r="AA436" s="150">
        <f t="shared" si="148"/>
        <v>0</v>
      </c>
      <c r="AB436" s="113">
        <f t="shared" si="149"/>
        <v>0</v>
      </c>
      <c r="AC436" s="36"/>
      <c r="AD436" s="272" t="str">
        <f t="shared" si="150"/>
        <v/>
      </c>
      <c r="AE436" s="273">
        <f t="shared" si="151"/>
        <v>0</v>
      </c>
      <c r="AF436" s="273">
        <f t="shared" si="152"/>
        <v>0</v>
      </c>
      <c r="AG436" s="273">
        <f t="shared" si="153"/>
        <v>0</v>
      </c>
      <c r="AH436" s="273">
        <f t="shared" si="154"/>
        <v>0</v>
      </c>
      <c r="AI436" s="273">
        <f t="shared" si="155"/>
        <v>0</v>
      </c>
      <c r="AJ436" s="273">
        <f t="shared" si="156"/>
        <v>0</v>
      </c>
      <c r="AK436" s="273">
        <f t="shared" si="157"/>
        <v>0</v>
      </c>
      <c r="AL436" s="274">
        <f t="shared" si="158"/>
        <v>0</v>
      </c>
      <c r="AN436" s="75" t="str">
        <f t="shared" si="159"/>
        <v>-</v>
      </c>
      <c r="AO436" s="75" t="str">
        <f t="shared" si="160"/>
        <v>-</v>
      </c>
      <c r="AP436" s="48">
        <f t="shared" si="163"/>
        <v>0</v>
      </c>
      <c r="AQ436" s="48">
        <f t="shared" si="161"/>
        <v>0</v>
      </c>
      <c r="AR436" s="49" t="e">
        <f t="shared" si="162"/>
        <v>#N/A</v>
      </c>
    </row>
    <row r="437" spans="1:44" ht="15">
      <c r="A437" s="38"/>
      <c r="B437" s="38"/>
      <c r="C437" s="38"/>
      <c r="D437" s="38"/>
      <c r="E437" s="38"/>
      <c r="F437" s="38"/>
      <c r="G437" s="47">
        <f t="shared" si="144"/>
        <v>6.5978850116714893E-2</v>
      </c>
      <c r="H437" s="44"/>
      <c r="I437" s="44"/>
      <c r="J437" s="45">
        <f t="shared" si="164"/>
        <v>0</v>
      </c>
      <c r="K437" s="38"/>
      <c r="L437" s="38"/>
      <c r="M437" s="38"/>
      <c r="N437" s="34" t="e">
        <f>VLOOKUP(F437,'GHG Emissions Factors'!$B$2:$C$4000,2,FALSE)</f>
        <v>#N/A</v>
      </c>
      <c r="O437" s="45" t="e">
        <f t="shared" si="145"/>
        <v>#N/A</v>
      </c>
      <c r="P437" s="34">
        <f>IF(L437="yes", 0, _xlfn.XLOOKUP(F437, 'GHG Emissions Factors'!$B$2:$B$4000, 'GHG Emissions Factors'!$D$2:$D$4000, 0))</f>
        <v>0</v>
      </c>
      <c r="Q437" s="46"/>
      <c r="R437" s="46"/>
      <c r="S437" s="46">
        <f>ProcurementAllocationData[[#This Row],[Net MWhs Procured]]-(ProcurementAllocationData[[#This Row],[Deep Green]]+ProcurementAllocationData[[#This Row],[LocalSol]]+ProcurementAllocationData[[#This Row],[GreenAccess]])</f>
        <v>0</v>
      </c>
      <c r="T437" s="46"/>
      <c r="U437" s="46"/>
      <c r="V437" s="46"/>
      <c r="W437" s="46"/>
      <c r="X437" s="46"/>
      <c r="Y437" s="112">
        <f t="shared" si="146"/>
        <v>0</v>
      </c>
      <c r="Z437" s="150">
        <f t="shared" si="147"/>
        <v>0</v>
      </c>
      <c r="AA437" s="150">
        <f t="shared" si="148"/>
        <v>0</v>
      </c>
      <c r="AB437" s="113">
        <f t="shared" si="149"/>
        <v>0</v>
      </c>
      <c r="AC437" s="36"/>
      <c r="AD437" s="272" t="str">
        <f t="shared" si="150"/>
        <v/>
      </c>
      <c r="AE437" s="273">
        <f t="shared" si="151"/>
        <v>0</v>
      </c>
      <c r="AF437" s="273">
        <f t="shared" si="152"/>
        <v>0</v>
      </c>
      <c r="AG437" s="273">
        <f t="shared" si="153"/>
        <v>0</v>
      </c>
      <c r="AH437" s="273">
        <f t="shared" si="154"/>
        <v>0</v>
      </c>
      <c r="AI437" s="273">
        <f t="shared" si="155"/>
        <v>0</v>
      </c>
      <c r="AJ437" s="273">
        <f t="shared" si="156"/>
        <v>0</v>
      </c>
      <c r="AK437" s="273">
        <f t="shared" si="157"/>
        <v>0</v>
      </c>
      <c r="AL437" s="274">
        <f t="shared" si="158"/>
        <v>0</v>
      </c>
      <c r="AN437" s="75" t="str">
        <f t="shared" si="159"/>
        <v>-</v>
      </c>
      <c r="AO437" s="75" t="str">
        <f t="shared" si="160"/>
        <v>-</v>
      </c>
      <c r="AP437" s="48">
        <f t="shared" si="163"/>
        <v>0</v>
      </c>
      <c r="AQ437" s="48">
        <f t="shared" si="161"/>
        <v>0</v>
      </c>
      <c r="AR437" s="49" t="e">
        <f t="shared" si="162"/>
        <v>#N/A</v>
      </c>
    </row>
    <row r="438" spans="1:44" ht="15">
      <c r="A438" s="38"/>
      <c r="B438" s="38"/>
      <c r="C438" s="38"/>
      <c r="D438" s="38"/>
      <c r="E438" s="38"/>
      <c r="F438" s="38"/>
      <c r="G438" s="47">
        <f t="shared" si="144"/>
        <v>6.5978850116714893E-2</v>
      </c>
      <c r="H438" s="44"/>
      <c r="I438" s="44"/>
      <c r="J438" s="45">
        <f t="shared" si="164"/>
        <v>0</v>
      </c>
      <c r="K438" s="38"/>
      <c r="L438" s="38"/>
      <c r="M438" s="38"/>
      <c r="N438" s="34" t="e">
        <f>VLOOKUP(F438,'GHG Emissions Factors'!$B$2:$C$4000,2,FALSE)</f>
        <v>#N/A</v>
      </c>
      <c r="O438" s="45" t="e">
        <f t="shared" si="145"/>
        <v>#N/A</v>
      </c>
      <c r="P438" s="34">
        <f>IF(L438="yes", 0, _xlfn.XLOOKUP(F438, 'GHG Emissions Factors'!$B$2:$B$4000, 'GHG Emissions Factors'!$D$2:$D$4000, 0))</f>
        <v>0</v>
      </c>
      <c r="Q438" s="46"/>
      <c r="R438" s="46"/>
      <c r="S438" s="46">
        <f>ProcurementAllocationData[[#This Row],[Net MWhs Procured]]-(ProcurementAllocationData[[#This Row],[Deep Green]]+ProcurementAllocationData[[#This Row],[LocalSol]]+ProcurementAllocationData[[#This Row],[GreenAccess]])</f>
        <v>0</v>
      </c>
      <c r="T438" s="46"/>
      <c r="U438" s="46"/>
      <c r="V438" s="46"/>
      <c r="W438" s="46"/>
      <c r="X438" s="46"/>
      <c r="Y438" s="112">
        <f t="shared" si="146"/>
        <v>0</v>
      </c>
      <c r="Z438" s="150">
        <f t="shared" si="147"/>
        <v>0</v>
      </c>
      <c r="AA438" s="150">
        <f t="shared" si="148"/>
        <v>0</v>
      </c>
      <c r="AB438" s="113">
        <f t="shared" si="149"/>
        <v>0</v>
      </c>
      <c r="AC438" s="36"/>
      <c r="AD438" s="272" t="str">
        <f t="shared" si="150"/>
        <v/>
      </c>
      <c r="AE438" s="273">
        <f t="shared" si="151"/>
        <v>0</v>
      </c>
      <c r="AF438" s="273">
        <f t="shared" si="152"/>
        <v>0</v>
      </c>
      <c r="AG438" s="273">
        <f t="shared" si="153"/>
        <v>0</v>
      </c>
      <c r="AH438" s="273">
        <f t="shared" si="154"/>
        <v>0</v>
      </c>
      <c r="AI438" s="273">
        <f t="shared" si="155"/>
        <v>0</v>
      </c>
      <c r="AJ438" s="273">
        <f t="shared" si="156"/>
        <v>0</v>
      </c>
      <c r="AK438" s="273">
        <f t="shared" si="157"/>
        <v>0</v>
      </c>
      <c r="AL438" s="274">
        <f t="shared" si="158"/>
        <v>0</v>
      </c>
      <c r="AN438" s="75" t="str">
        <f t="shared" si="159"/>
        <v>-</v>
      </c>
      <c r="AO438" s="75" t="str">
        <f t="shared" si="160"/>
        <v>-</v>
      </c>
      <c r="AP438" s="48">
        <f t="shared" si="163"/>
        <v>0</v>
      </c>
      <c r="AQ438" s="48">
        <f t="shared" si="161"/>
        <v>0</v>
      </c>
      <c r="AR438" s="49" t="e">
        <f t="shared" si="162"/>
        <v>#N/A</v>
      </c>
    </row>
    <row r="439" spans="1:44" ht="15">
      <c r="A439" s="38"/>
      <c r="B439" s="38"/>
      <c r="C439" s="38"/>
      <c r="D439" s="38"/>
      <c r="E439" s="38"/>
      <c r="F439" s="38"/>
      <c r="G439" s="47">
        <f t="shared" si="144"/>
        <v>6.5978850116714893E-2</v>
      </c>
      <c r="H439" s="44"/>
      <c r="I439" s="44"/>
      <c r="J439" s="45">
        <f t="shared" si="164"/>
        <v>0</v>
      </c>
      <c r="K439" s="38"/>
      <c r="L439" s="38"/>
      <c r="M439" s="38"/>
      <c r="N439" s="34" t="e">
        <f>VLOOKUP(F439,'GHG Emissions Factors'!$B$2:$C$4000,2,FALSE)</f>
        <v>#N/A</v>
      </c>
      <c r="O439" s="45" t="e">
        <f t="shared" si="145"/>
        <v>#N/A</v>
      </c>
      <c r="P439" s="34">
        <f>IF(L439="yes", 0, _xlfn.XLOOKUP(F439, 'GHG Emissions Factors'!$B$2:$B$4000, 'GHG Emissions Factors'!$D$2:$D$4000, 0))</f>
        <v>0</v>
      </c>
      <c r="Q439" s="46"/>
      <c r="R439" s="46"/>
      <c r="S439" s="46">
        <f>ProcurementAllocationData[[#This Row],[Net MWhs Procured]]-(ProcurementAllocationData[[#This Row],[Deep Green]]+ProcurementAllocationData[[#This Row],[LocalSol]]+ProcurementAllocationData[[#This Row],[GreenAccess]])</f>
        <v>0</v>
      </c>
      <c r="T439" s="46"/>
      <c r="U439" s="46"/>
      <c r="V439" s="46"/>
      <c r="W439" s="46"/>
      <c r="X439" s="46"/>
      <c r="Y439" s="112">
        <f t="shared" si="146"/>
        <v>0</v>
      </c>
      <c r="Z439" s="150">
        <f t="shared" si="147"/>
        <v>0</v>
      </c>
      <c r="AA439" s="150">
        <f t="shared" si="148"/>
        <v>0</v>
      </c>
      <c r="AB439" s="113">
        <f t="shared" si="149"/>
        <v>0</v>
      </c>
      <c r="AC439" s="36"/>
      <c r="AD439" s="272" t="str">
        <f t="shared" si="150"/>
        <v/>
      </c>
      <c r="AE439" s="273">
        <f t="shared" si="151"/>
        <v>0</v>
      </c>
      <c r="AF439" s="273">
        <f t="shared" si="152"/>
        <v>0</v>
      </c>
      <c r="AG439" s="273">
        <f t="shared" si="153"/>
        <v>0</v>
      </c>
      <c r="AH439" s="273">
        <f t="shared" si="154"/>
        <v>0</v>
      </c>
      <c r="AI439" s="273">
        <f t="shared" si="155"/>
        <v>0</v>
      </c>
      <c r="AJ439" s="273">
        <f t="shared" si="156"/>
        <v>0</v>
      </c>
      <c r="AK439" s="273">
        <f t="shared" si="157"/>
        <v>0</v>
      </c>
      <c r="AL439" s="274">
        <f t="shared" si="158"/>
        <v>0</v>
      </c>
      <c r="AN439" s="75" t="str">
        <f t="shared" si="159"/>
        <v>-</v>
      </c>
      <c r="AO439" s="75" t="str">
        <f t="shared" si="160"/>
        <v>-</v>
      </c>
      <c r="AP439" s="48">
        <f t="shared" si="163"/>
        <v>0</v>
      </c>
      <c r="AQ439" s="48">
        <f t="shared" si="161"/>
        <v>0</v>
      </c>
      <c r="AR439" s="49" t="e">
        <f t="shared" si="162"/>
        <v>#N/A</v>
      </c>
    </row>
    <row r="440" spans="1:44" ht="15">
      <c r="A440" s="38"/>
      <c r="B440" s="38"/>
      <c r="C440" s="38"/>
      <c r="D440" s="38"/>
      <c r="E440" s="38"/>
      <c r="F440" s="38"/>
      <c r="G440" s="47">
        <f t="shared" si="144"/>
        <v>6.5978850116714893E-2</v>
      </c>
      <c r="H440" s="44"/>
      <c r="I440" s="44"/>
      <c r="J440" s="45">
        <f t="shared" si="164"/>
        <v>0</v>
      </c>
      <c r="K440" s="38"/>
      <c r="L440" s="38"/>
      <c r="M440" s="38"/>
      <c r="N440" s="34" t="e">
        <f>VLOOKUP(F440,'GHG Emissions Factors'!$B$2:$C$4000,2,FALSE)</f>
        <v>#N/A</v>
      </c>
      <c r="O440" s="45" t="e">
        <f t="shared" si="145"/>
        <v>#N/A</v>
      </c>
      <c r="P440" s="34">
        <f>IF(L440="yes", 0, _xlfn.XLOOKUP(F440, 'GHG Emissions Factors'!$B$2:$B$4000, 'GHG Emissions Factors'!$D$2:$D$4000, 0))</f>
        <v>0</v>
      </c>
      <c r="Q440" s="46"/>
      <c r="R440" s="46"/>
      <c r="S440" s="46">
        <f>ProcurementAllocationData[[#This Row],[Net MWhs Procured]]-(ProcurementAllocationData[[#This Row],[Deep Green]]+ProcurementAllocationData[[#This Row],[LocalSol]]+ProcurementAllocationData[[#This Row],[GreenAccess]])</f>
        <v>0</v>
      </c>
      <c r="T440" s="46"/>
      <c r="U440" s="46"/>
      <c r="V440" s="46"/>
      <c r="W440" s="46"/>
      <c r="X440" s="46"/>
      <c r="Y440" s="112">
        <f t="shared" si="146"/>
        <v>0</v>
      </c>
      <c r="Z440" s="150">
        <f t="shared" si="147"/>
        <v>0</v>
      </c>
      <c r="AA440" s="150">
        <f t="shared" si="148"/>
        <v>0</v>
      </c>
      <c r="AB440" s="113">
        <f t="shared" si="149"/>
        <v>0</v>
      </c>
      <c r="AC440" s="36"/>
      <c r="AD440" s="272" t="str">
        <f t="shared" si="150"/>
        <v/>
      </c>
      <c r="AE440" s="273">
        <f t="shared" si="151"/>
        <v>0</v>
      </c>
      <c r="AF440" s="273">
        <f t="shared" si="152"/>
        <v>0</v>
      </c>
      <c r="AG440" s="273">
        <f t="shared" si="153"/>
        <v>0</v>
      </c>
      <c r="AH440" s="273">
        <f t="shared" si="154"/>
        <v>0</v>
      </c>
      <c r="AI440" s="273">
        <f t="shared" si="155"/>
        <v>0</v>
      </c>
      <c r="AJ440" s="273">
        <f t="shared" si="156"/>
        <v>0</v>
      </c>
      <c r="AK440" s="273">
        <f t="shared" si="157"/>
        <v>0</v>
      </c>
      <c r="AL440" s="274">
        <f t="shared" si="158"/>
        <v>0</v>
      </c>
      <c r="AN440" s="75" t="str">
        <f t="shared" si="159"/>
        <v>-</v>
      </c>
      <c r="AO440" s="75" t="str">
        <f t="shared" si="160"/>
        <v>-</v>
      </c>
      <c r="AP440" s="48">
        <f t="shared" si="163"/>
        <v>0</v>
      </c>
      <c r="AQ440" s="48">
        <f t="shared" si="161"/>
        <v>0</v>
      </c>
      <c r="AR440" s="49" t="e">
        <f t="shared" si="162"/>
        <v>#N/A</v>
      </c>
    </row>
    <row r="441" spans="1:44" ht="15">
      <c r="A441" s="38"/>
      <c r="B441" s="38"/>
      <c r="C441" s="38"/>
      <c r="D441" s="38"/>
      <c r="E441" s="38"/>
      <c r="F441" s="38"/>
      <c r="G441" s="47">
        <f t="shared" si="144"/>
        <v>6.5978850116714893E-2</v>
      </c>
      <c r="H441" s="44"/>
      <c r="I441" s="44"/>
      <c r="J441" s="45">
        <f t="shared" si="164"/>
        <v>0</v>
      </c>
      <c r="K441" s="38"/>
      <c r="L441" s="38"/>
      <c r="M441" s="38"/>
      <c r="N441" s="34" t="e">
        <f>VLOOKUP(F441,'GHG Emissions Factors'!$B$2:$C$4000,2,FALSE)</f>
        <v>#N/A</v>
      </c>
      <c r="O441" s="45" t="e">
        <f t="shared" si="145"/>
        <v>#N/A</v>
      </c>
      <c r="P441" s="34">
        <f>IF(L441="yes", 0, _xlfn.XLOOKUP(F441, 'GHG Emissions Factors'!$B$2:$B$4000, 'GHG Emissions Factors'!$D$2:$D$4000, 0))</f>
        <v>0</v>
      </c>
      <c r="Q441" s="46"/>
      <c r="R441" s="46"/>
      <c r="S441" s="46">
        <f>ProcurementAllocationData[[#This Row],[Net MWhs Procured]]-(ProcurementAllocationData[[#This Row],[Deep Green]]+ProcurementAllocationData[[#This Row],[LocalSol]]+ProcurementAllocationData[[#This Row],[GreenAccess]])</f>
        <v>0</v>
      </c>
      <c r="T441" s="46"/>
      <c r="U441" s="46"/>
      <c r="V441" s="46"/>
      <c r="W441" s="46"/>
      <c r="X441" s="46"/>
      <c r="Y441" s="112">
        <f t="shared" si="146"/>
        <v>0</v>
      </c>
      <c r="Z441" s="150">
        <f t="shared" si="147"/>
        <v>0</v>
      </c>
      <c r="AA441" s="150">
        <f t="shared" si="148"/>
        <v>0</v>
      </c>
      <c r="AB441" s="113">
        <f t="shared" si="149"/>
        <v>0</v>
      </c>
      <c r="AC441" s="36"/>
      <c r="AD441" s="272" t="str">
        <f t="shared" si="150"/>
        <v/>
      </c>
      <c r="AE441" s="273">
        <f t="shared" si="151"/>
        <v>0</v>
      </c>
      <c r="AF441" s="273">
        <f t="shared" si="152"/>
        <v>0</v>
      </c>
      <c r="AG441" s="273">
        <f t="shared" si="153"/>
        <v>0</v>
      </c>
      <c r="AH441" s="273">
        <f t="shared" si="154"/>
        <v>0</v>
      </c>
      <c r="AI441" s="273">
        <f t="shared" si="155"/>
        <v>0</v>
      </c>
      <c r="AJ441" s="273">
        <f t="shared" si="156"/>
        <v>0</v>
      </c>
      <c r="AK441" s="273">
        <f t="shared" si="157"/>
        <v>0</v>
      </c>
      <c r="AL441" s="274">
        <f t="shared" si="158"/>
        <v>0</v>
      </c>
      <c r="AN441" s="75" t="str">
        <f t="shared" si="159"/>
        <v>-</v>
      </c>
      <c r="AO441" s="75" t="str">
        <f t="shared" si="160"/>
        <v>-</v>
      </c>
      <c r="AP441" s="48">
        <f t="shared" si="163"/>
        <v>0</v>
      </c>
      <c r="AQ441" s="48">
        <f t="shared" si="161"/>
        <v>0</v>
      </c>
      <c r="AR441" s="49" t="e">
        <f t="shared" si="162"/>
        <v>#N/A</v>
      </c>
    </row>
    <row r="442" spans="1:44" ht="15">
      <c r="A442" s="38"/>
      <c r="B442" s="38"/>
      <c r="C442" s="38"/>
      <c r="D442" s="38"/>
      <c r="E442" s="38"/>
      <c r="F442" s="38"/>
      <c r="G442" s="47">
        <f t="shared" si="144"/>
        <v>6.5978850116714893E-2</v>
      </c>
      <c r="H442" s="44"/>
      <c r="I442" s="44"/>
      <c r="J442" s="45">
        <f t="shared" si="164"/>
        <v>0</v>
      </c>
      <c r="K442" s="38"/>
      <c r="L442" s="38"/>
      <c r="M442" s="38"/>
      <c r="N442" s="34" t="e">
        <f>VLOOKUP(F442,'GHG Emissions Factors'!$B$2:$C$4000,2,FALSE)</f>
        <v>#N/A</v>
      </c>
      <c r="O442" s="45" t="e">
        <f t="shared" si="145"/>
        <v>#N/A</v>
      </c>
      <c r="P442" s="34">
        <f>IF(L442="yes", 0, _xlfn.XLOOKUP(F442, 'GHG Emissions Factors'!$B$2:$B$4000, 'GHG Emissions Factors'!$D$2:$D$4000, 0))</f>
        <v>0</v>
      </c>
      <c r="Q442" s="46"/>
      <c r="R442" s="46"/>
      <c r="S442" s="46">
        <f>ProcurementAllocationData[[#This Row],[Net MWhs Procured]]-(ProcurementAllocationData[[#This Row],[Deep Green]]+ProcurementAllocationData[[#This Row],[LocalSol]]+ProcurementAllocationData[[#This Row],[GreenAccess]])</f>
        <v>0</v>
      </c>
      <c r="T442" s="46"/>
      <c r="U442" s="46"/>
      <c r="V442" s="46"/>
      <c r="W442" s="46"/>
      <c r="X442" s="46"/>
      <c r="Y442" s="112">
        <f t="shared" si="146"/>
        <v>0</v>
      </c>
      <c r="Z442" s="150">
        <f t="shared" si="147"/>
        <v>0</v>
      </c>
      <c r="AA442" s="150">
        <f t="shared" si="148"/>
        <v>0</v>
      </c>
      <c r="AB442" s="113">
        <f t="shared" si="149"/>
        <v>0</v>
      </c>
      <c r="AC442" s="36"/>
      <c r="AD442" s="272" t="str">
        <f t="shared" si="150"/>
        <v/>
      </c>
      <c r="AE442" s="273">
        <f t="shared" si="151"/>
        <v>0</v>
      </c>
      <c r="AF442" s="273">
        <f t="shared" si="152"/>
        <v>0</v>
      </c>
      <c r="AG442" s="273">
        <f t="shared" si="153"/>
        <v>0</v>
      </c>
      <c r="AH442" s="273">
        <f t="shared" si="154"/>
        <v>0</v>
      </c>
      <c r="AI442" s="273">
        <f t="shared" si="155"/>
        <v>0</v>
      </c>
      <c r="AJ442" s="273">
        <f t="shared" si="156"/>
        <v>0</v>
      </c>
      <c r="AK442" s="273">
        <f t="shared" si="157"/>
        <v>0</v>
      </c>
      <c r="AL442" s="274">
        <f t="shared" si="158"/>
        <v>0</v>
      </c>
      <c r="AN442" s="75" t="str">
        <f t="shared" si="159"/>
        <v>-</v>
      </c>
      <c r="AO442" s="75" t="str">
        <f t="shared" si="160"/>
        <v>-</v>
      </c>
      <c r="AP442" s="48">
        <f t="shared" si="163"/>
        <v>0</v>
      </c>
      <c r="AQ442" s="48">
        <f t="shared" si="161"/>
        <v>0</v>
      </c>
      <c r="AR442" s="49" t="e">
        <f t="shared" si="162"/>
        <v>#N/A</v>
      </c>
    </row>
    <row r="443" spans="1:44" ht="15">
      <c r="A443" s="38"/>
      <c r="B443" s="38"/>
      <c r="C443" s="38"/>
      <c r="D443" s="38"/>
      <c r="E443" s="38"/>
      <c r="F443" s="38"/>
      <c r="G443" s="47">
        <f t="shared" si="144"/>
        <v>6.5978850116714893E-2</v>
      </c>
      <c r="H443" s="44"/>
      <c r="I443" s="44"/>
      <c r="J443" s="45">
        <f t="shared" si="164"/>
        <v>0</v>
      </c>
      <c r="K443" s="38"/>
      <c r="L443" s="38"/>
      <c r="M443" s="38"/>
      <c r="N443" s="34" t="e">
        <f>VLOOKUP(F443,'GHG Emissions Factors'!$B$2:$C$4000,2,FALSE)</f>
        <v>#N/A</v>
      </c>
      <c r="O443" s="45" t="e">
        <f t="shared" si="145"/>
        <v>#N/A</v>
      </c>
      <c r="P443" s="34">
        <f>IF(L443="yes", 0, _xlfn.XLOOKUP(F443, 'GHG Emissions Factors'!$B$2:$B$4000, 'GHG Emissions Factors'!$D$2:$D$4000, 0))</f>
        <v>0</v>
      </c>
      <c r="Q443" s="46"/>
      <c r="R443" s="46"/>
      <c r="S443" s="46">
        <f>ProcurementAllocationData[[#This Row],[Net MWhs Procured]]-(ProcurementAllocationData[[#This Row],[Deep Green]]+ProcurementAllocationData[[#This Row],[LocalSol]]+ProcurementAllocationData[[#This Row],[GreenAccess]])</f>
        <v>0</v>
      </c>
      <c r="T443" s="46"/>
      <c r="U443" s="46"/>
      <c r="V443" s="46"/>
      <c r="W443" s="46"/>
      <c r="X443" s="46"/>
      <c r="Y443" s="112">
        <f t="shared" si="146"/>
        <v>0</v>
      </c>
      <c r="Z443" s="150">
        <f t="shared" si="147"/>
        <v>0</v>
      </c>
      <c r="AA443" s="150">
        <f t="shared" si="148"/>
        <v>0</v>
      </c>
      <c r="AB443" s="113">
        <f t="shared" si="149"/>
        <v>0</v>
      </c>
      <c r="AC443" s="36"/>
      <c r="AD443" s="272" t="str">
        <f t="shared" si="150"/>
        <v/>
      </c>
      <c r="AE443" s="273">
        <f t="shared" si="151"/>
        <v>0</v>
      </c>
      <c r="AF443" s="273">
        <f t="shared" si="152"/>
        <v>0</v>
      </c>
      <c r="AG443" s="273">
        <f t="shared" si="153"/>
        <v>0</v>
      </c>
      <c r="AH443" s="273">
        <f t="shared" si="154"/>
        <v>0</v>
      </c>
      <c r="AI443" s="273">
        <f t="shared" si="155"/>
        <v>0</v>
      </c>
      <c r="AJ443" s="273">
        <f t="shared" si="156"/>
        <v>0</v>
      </c>
      <c r="AK443" s="273">
        <f t="shared" si="157"/>
        <v>0</v>
      </c>
      <c r="AL443" s="274">
        <f t="shared" si="158"/>
        <v>0</v>
      </c>
      <c r="AN443" s="75" t="str">
        <f t="shared" si="159"/>
        <v>-</v>
      </c>
      <c r="AO443" s="75" t="str">
        <f t="shared" si="160"/>
        <v>-</v>
      </c>
      <c r="AP443" s="48">
        <f t="shared" si="163"/>
        <v>0</v>
      </c>
      <c r="AQ443" s="48">
        <f t="shared" si="161"/>
        <v>0</v>
      </c>
      <c r="AR443" s="49" t="e">
        <f t="shared" si="162"/>
        <v>#N/A</v>
      </c>
    </row>
    <row r="444" spans="1:44" ht="15">
      <c r="A444" s="38"/>
      <c r="B444" s="38"/>
      <c r="C444" s="38"/>
      <c r="D444" s="38"/>
      <c r="E444" s="38"/>
      <c r="F444" s="38"/>
      <c r="G444" s="47">
        <f t="shared" si="144"/>
        <v>6.5978850116714893E-2</v>
      </c>
      <c r="H444" s="44"/>
      <c r="I444" s="44"/>
      <c r="J444" s="45">
        <f t="shared" si="164"/>
        <v>0</v>
      </c>
      <c r="K444" s="38"/>
      <c r="L444" s="38"/>
      <c r="M444" s="38"/>
      <c r="N444" s="34" t="e">
        <f>VLOOKUP(F444,'GHG Emissions Factors'!$B$2:$C$4000,2,FALSE)</f>
        <v>#N/A</v>
      </c>
      <c r="O444" s="45" t="e">
        <f t="shared" si="145"/>
        <v>#N/A</v>
      </c>
      <c r="P444" s="34">
        <f>IF(L444="yes", 0, _xlfn.XLOOKUP(F444, 'GHG Emissions Factors'!$B$2:$B$4000, 'GHG Emissions Factors'!$D$2:$D$4000, 0))</f>
        <v>0</v>
      </c>
      <c r="Q444" s="46"/>
      <c r="R444" s="46"/>
      <c r="S444" s="46">
        <f>ProcurementAllocationData[[#This Row],[Net MWhs Procured]]-(ProcurementAllocationData[[#This Row],[Deep Green]]+ProcurementAllocationData[[#This Row],[LocalSol]]+ProcurementAllocationData[[#This Row],[GreenAccess]])</f>
        <v>0</v>
      </c>
      <c r="T444" s="46"/>
      <c r="U444" s="46"/>
      <c r="V444" s="46"/>
      <c r="W444" s="46"/>
      <c r="X444" s="46"/>
      <c r="Y444" s="112">
        <f t="shared" si="146"/>
        <v>0</v>
      </c>
      <c r="Z444" s="150">
        <f t="shared" si="147"/>
        <v>0</v>
      </c>
      <c r="AA444" s="150">
        <f t="shared" si="148"/>
        <v>0</v>
      </c>
      <c r="AB444" s="113">
        <f t="shared" si="149"/>
        <v>0</v>
      </c>
      <c r="AC444" s="36"/>
      <c r="AD444" s="272" t="str">
        <f t="shared" si="150"/>
        <v/>
      </c>
      <c r="AE444" s="273">
        <f t="shared" si="151"/>
        <v>0</v>
      </c>
      <c r="AF444" s="273">
        <f t="shared" si="152"/>
        <v>0</v>
      </c>
      <c r="AG444" s="273">
        <f t="shared" si="153"/>
        <v>0</v>
      </c>
      <c r="AH444" s="273">
        <f t="shared" si="154"/>
        <v>0</v>
      </c>
      <c r="AI444" s="273">
        <f t="shared" si="155"/>
        <v>0</v>
      </c>
      <c r="AJ444" s="273">
        <f t="shared" si="156"/>
        <v>0</v>
      </c>
      <c r="AK444" s="273">
        <f t="shared" si="157"/>
        <v>0</v>
      </c>
      <c r="AL444" s="274">
        <f t="shared" si="158"/>
        <v>0</v>
      </c>
      <c r="AN444" s="75" t="str">
        <f t="shared" si="159"/>
        <v>-</v>
      </c>
      <c r="AO444" s="75" t="str">
        <f t="shared" si="160"/>
        <v>-</v>
      </c>
      <c r="AP444" s="48">
        <f t="shared" si="163"/>
        <v>0</v>
      </c>
      <c r="AQ444" s="48">
        <f t="shared" si="161"/>
        <v>0</v>
      </c>
      <c r="AR444" s="49" t="e">
        <f t="shared" si="162"/>
        <v>#N/A</v>
      </c>
    </row>
    <row r="445" spans="1:44" ht="15">
      <c r="A445" s="38"/>
      <c r="B445" s="38"/>
      <c r="C445" s="38"/>
      <c r="D445" s="38"/>
      <c r="E445" s="38"/>
      <c r="F445" s="38"/>
      <c r="G445" s="47">
        <f t="shared" si="144"/>
        <v>6.5978850116714893E-2</v>
      </c>
      <c r="H445" s="44"/>
      <c r="I445" s="44"/>
      <c r="J445" s="45">
        <f t="shared" si="164"/>
        <v>0</v>
      </c>
      <c r="K445" s="38"/>
      <c r="L445" s="38"/>
      <c r="M445" s="38"/>
      <c r="N445" s="34" t="e">
        <f>VLOOKUP(F445,'GHG Emissions Factors'!$B$2:$C$4000,2,FALSE)</f>
        <v>#N/A</v>
      </c>
      <c r="O445" s="45" t="e">
        <f t="shared" si="145"/>
        <v>#N/A</v>
      </c>
      <c r="P445" s="34">
        <f>IF(L445="yes", 0, _xlfn.XLOOKUP(F445, 'GHG Emissions Factors'!$B$2:$B$4000, 'GHG Emissions Factors'!$D$2:$D$4000, 0))</f>
        <v>0</v>
      </c>
      <c r="Q445" s="46"/>
      <c r="R445" s="46"/>
      <c r="S445" s="46">
        <f>ProcurementAllocationData[[#This Row],[Net MWhs Procured]]-(ProcurementAllocationData[[#This Row],[Deep Green]]+ProcurementAllocationData[[#This Row],[LocalSol]]+ProcurementAllocationData[[#This Row],[GreenAccess]])</f>
        <v>0</v>
      </c>
      <c r="T445" s="46"/>
      <c r="U445" s="46"/>
      <c r="V445" s="46"/>
      <c r="W445" s="46"/>
      <c r="X445" s="46"/>
      <c r="Y445" s="112">
        <f t="shared" si="146"/>
        <v>0</v>
      </c>
      <c r="Z445" s="150">
        <f t="shared" si="147"/>
        <v>0</v>
      </c>
      <c r="AA445" s="150">
        <f t="shared" si="148"/>
        <v>0</v>
      </c>
      <c r="AB445" s="113">
        <f t="shared" si="149"/>
        <v>0</v>
      </c>
      <c r="AC445" s="36"/>
      <c r="AD445" s="272" t="str">
        <f t="shared" si="150"/>
        <v/>
      </c>
      <c r="AE445" s="273">
        <f t="shared" si="151"/>
        <v>0</v>
      </c>
      <c r="AF445" s="273">
        <f t="shared" si="152"/>
        <v>0</v>
      </c>
      <c r="AG445" s="273">
        <f t="shared" si="153"/>
        <v>0</v>
      </c>
      <c r="AH445" s="273">
        <f t="shared" si="154"/>
        <v>0</v>
      </c>
      <c r="AI445" s="273">
        <f t="shared" si="155"/>
        <v>0</v>
      </c>
      <c r="AJ445" s="273">
        <f t="shared" si="156"/>
        <v>0</v>
      </c>
      <c r="AK445" s="273">
        <f t="shared" si="157"/>
        <v>0</v>
      </c>
      <c r="AL445" s="274">
        <f t="shared" si="158"/>
        <v>0</v>
      </c>
      <c r="AN445" s="75" t="str">
        <f t="shared" si="159"/>
        <v>-</v>
      </c>
      <c r="AO445" s="75" t="str">
        <f t="shared" si="160"/>
        <v>-</v>
      </c>
      <c r="AP445" s="48">
        <f t="shared" si="163"/>
        <v>0</v>
      </c>
      <c r="AQ445" s="48">
        <f t="shared" si="161"/>
        <v>0</v>
      </c>
      <c r="AR445" s="49" t="e">
        <f t="shared" si="162"/>
        <v>#N/A</v>
      </c>
    </row>
    <row r="446" spans="1:44" ht="15">
      <c r="A446" s="38"/>
      <c r="B446" s="38"/>
      <c r="C446" s="38"/>
      <c r="D446" s="38"/>
      <c r="E446" s="38"/>
      <c r="F446" s="38"/>
      <c r="G446" s="47">
        <f t="shared" si="144"/>
        <v>6.5978850116714893E-2</v>
      </c>
      <c r="H446" s="44"/>
      <c r="I446" s="44"/>
      <c r="J446" s="45">
        <f t="shared" si="164"/>
        <v>0</v>
      </c>
      <c r="K446" s="38"/>
      <c r="L446" s="38"/>
      <c r="M446" s="38"/>
      <c r="N446" s="34" t="e">
        <f>VLOOKUP(F446,'GHG Emissions Factors'!$B$2:$C$4000,2,FALSE)</f>
        <v>#N/A</v>
      </c>
      <c r="O446" s="45" t="e">
        <f t="shared" si="145"/>
        <v>#N/A</v>
      </c>
      <c r="P446" s="34">
        <f>IF(L446="yes", 0, _xlfn.XLOOKUP(F446, 'GHG Emissions Factors'!$B$2:$B$4000, 'GHG Emissions Factors'!$D$2:$D$4000, 0))</f>
        <v>0</v>
      </c>
      <c r="Q446" s="46"/>
      <c r="R446" s="46"/>
      <c r="S446" s="46">
        <f>ProcurementAllocationData[[#This Row],[Net MWhs Procured]]-(ProcurementAllocationData[[#This Row],[Deep Green]]+ProcurementAllocationData[[#This Row],[LocalSol]]+ProcurementAllocationData[[#This Row],[GreenAccess]])</f>
        <v>0</v>
      </c>
      <c r="T446" s="46"/>
      <c r="U446" s="46"/>
      <c r="V446" s="46"/>
      <c r="W446" s="46"/>
      <c r="X446" s="46"/>
      <c r="Y446" s="112">
        <f t="shared" si="146"/>
        <v>0</v>
      </c>
      <c r="Z446" s="150">
        <f t="shared" si="147"/>
        <v>0</v>
      </c>
      <c r="AA446" s="150">
        <f t="shared" si="148"/>
        <v>0</v>
      </c>
      <c r="AB446" s="113">
        <f t="shared" si="149"/>
        <v>0</v>
      </c>
      <c r="AC446" s="36"/>
      <c r="AD446" s="272" t="str">
        <f t="shared" si="150"/>
        <v/>
      </c>
      <c r="AE446" s="273">
        <f t="shared" si="151"/>
        <v>0</v>
      </c>
      <c r="AF446" s="273">
        <f t="shared" si="152"/>
        <v>0</v>
      </c>
      <c r="AG446" s="273">
        <f t="shared" si="153"/>
        <v>0</v>
      </c>
      <c r="AH446" s="273">
        <f t="shared" si="154"/>
        <v>0</v>
      </c>
      <c r="AI446" s="273">
        <f t="shared" si="155"/>
        <v>0</v>
      </c>
      <c r="AJ446" s="273">
        <f t="shared" si="156"/>
        <v>0</v>
      </c>
      <c r="AK446" s="273">
        <f t="shared" si="157"/>
        <v>0</v>
      </c>
      <c r="AL446" s="274">
        <f t="shared" si="158"/>
        <v>0</v>
      </c>
      <c r="AN446" s="75" t="str">
        <f t="shared" si="159"/>
        <v>-</v>
      </c>
      <c r="AO446" s="75" t="str">
        <f t="shared" si="160"/>
        <v>-</v>
      </c>
      <c r="AP446" s="48">
        <f t="shared" si="163"/>
        <v>0</v>
      </c>
      <c r="AQ446" s="48">
        <f t="shared" si="161"/>
        <v>0</v>
      </c>
      <c r="AR446" s="49" t="e">
        <f t="shared" si="162"/>
        <v>#N/A</v>
      </c>
    </row>
    <row r="447" spans="1:44" ht="15">
      <c r="A447" s="38"/>
      <c r="B447" s="38"/>
      <c r="C447" s="38"/>
      <c r="D447" s="38"/>
      <c r="E447" s="38"/>
      <c r="F447" s="38"/>
      <c r="G447" s="47">
        <f t="shared" si="144"/>
        <v>6.5978850116714893E-2</v>
      </c>
      <c r="H447" s="44"/>
      <c r="I447" s="44"/>
      <c r="J447" s="45">
        <f t="shared" si="164"/>
        <v>0</v>
      </c>
      <c r="K447" s="38"/>
      <c r="L447" s="38"/>
      <c r="M447" s="38"/>
      <c r="N447" s="34" t="e">
        <f>VLOOKUP(F447,'GHG Emissions Factors'!$B$2:$C$4000,2,FALSE)</f>
        <v>#N/A</v>
      </c>
      <c r="O447" s="45" t="e">
        <f t="shared" si="145"/>
        <v>#N/A</v>
      </c>
      <c r="P447" s="34">
        <f>IF(L447="yes", 0, _xlfn.XLOOKUP(F447, 'GHG Emissions Factors'!$B$2:$B$4000, 'GHG Emissions Factors'!$D$2:$D$4000, 0))</f>
        <v>0</v>
      </c>
      <c r="Q447" s="46"/>
      <c r="R447" s="46"/>
      <c r="S447" s="46">
        <f>ProcurementAllocationData[[#This Row],[Net MWhs Procured]]-(ProcurementAllocationData[[#This Row],[Deep Green]]+ProcurementAllocationData[[#This Row],[LocalSol]]+ProcurementAllocationData[[#This Row],[GreenAccess]])</f>
        <v>0</v>
      </c>
      <c r="T447" s="46"/>
      <c r="U447" s="46"/>
      <c r="V447" s="46"/>
      <c r="W447" s="46"/>
      <c r="X447" s="46"/>
      <c r="Y447" s="112">
        <f t="shared" si="146"/>
        <v>0</v>
      </c>
      <c r="Z447" s="150">
        <f t="shared" si="147"/>
        <v>0</v>
      </c>
      <c r="AA447" s="150">
        <f t="shared" si="148"/>
        <v>0</v>
      </c>
      <c r="AB447" s="113">
        <f t="shared" si="149"/>
        <v>0</v>
      </c>
      <c r="AC447" s="36"/>
      <c r="AD447" s="272" t="str">
        <f t="shared" si="150"/>
        <v/>
      </c>
      <c r="AE447" s="273">
        <f t="shared" si="151"/>
        <v>0</v>
      </c>
      <c r="AF447" s="273">
        <f t="shared" si="152"/>
        <v>0</v>
      </c>
      <c r="AG447" s="273">
        <f t="shared" si="153"/>
        <v>0</v>
      </c>
      <c r="AH447" s="273">
        <f t="shared" si="154"/>
        <v>0</v>
      </c>
      <c r="AI447" s="273">
        <f t="shared" si="155"/>
        <v>0</v>
      </c>
      <c r="AJ447" s="273">
        <f t="shared" si="156"/>
        <v>0</v>
      </c>
      <c r="AK447" s="273">
        <f t="shared" si="157"/>
        <v>0</v>
      </c>
      <c r="AL447" s="274">
        <f t="shared" si="158"/>
        <v>0</v>
      </c>
      <c r="AN447" s="75" t="str">
        <f t="shared" si="159"/>
        <v>-</v>
      </c>
      <c r="AO447" s="75" t="str">
        <f t="shared" si="160"/>
        <v>-</v>
      </c>
      <c r="AP447" s="48">
        <f t="shared" si="163"/>
        <v>0</v>
      </c>
      <c r="AQ447" s="48">
        <f t="shared" si="161"/>
        <v>0</v>
      </c>
      <c r="AR447" s="49" t="e">
        <f t="shared" si="162"/>
        <v>#N/A</v>
      </c>
    </row>
    <row r="448" spans="1:44" ht="15">
      <c r="A448" s="38"/>
      <c r="B448" s="38"/>
      <c r="C448" s="38"/>
      <c r="D448" s="38"/>
      <c r="E448" s="38"/>
      <c r="F448" s="38"/>
      <c r="G448" s="47">
        <f t="shared" si="144"/>
        <v>6.5978850116714893E-2</v>
      </c>
      <c r="H448" s="44"/>
      <c r="I448" s="44"/>
      <c r="J448" s="45">
        <f t="shared" si="164"/>
        <v>0</v>
      </c>
      <c r="K448" s="38"/>
      <c r="L448" s="38"/>
      <c r="M448" s="38"/>
      <c r="N448" s="34" t="e">
        <f>VLOOKUP(F448,'GHG Emissions Factors'!$B$2:$C$4000,2,FALSE)</f>
        <v>#N/A</v>
      </c>
      <c r="O448" s="45" t="e">
        <f t="shared" si="145"/>
        <v>#N/A</v>
      </c>
      <c r="P448" s="34">
        <f>IF(L448="yes", 0, _xlfn.XLOOKUP(F448, 'GHG Emissions Factors'!$B$2:$B$4000, 'GHG Emissions Factors'!$D$2:$D$4000, 0))</f>
        <v>0</v>
      </c>
      <c r="Q448" s="46"/>
      <c r="R448" s="46"/>
      <c r="S448" s="46">
        <f>ProcurementAllocationData[[#This Row],[Net MWhs Procured]]-(ProcurementAllocationData[[#This Row],[Deep Green]]+ProcurementAllocationData[[#This Row],[LocalSol]]+ProcurementAllocationData[[#This Row],[GreenAccess]])</f>
        <v>0</v>
      </c>
      <c r="T448" s="46"/>
      <c r="U448" s="46"/>
      <c r="V448" s="46"/>
      <c r="W448" s="46"/>
      <c r="X448" s="46"/>
      <c r="Y448" s="112">
        <f t="shared" si="146"/>
        <v>0</v>
      </c>
      <c r="Z448" s="150">
        <f t="shared" si="147"/>
        <v>0</v>
      </c>
      <c r="AA448" s="150">
        <f t="shared" si="148"/>
        <v>0</v>
      </c>
      <c r="AB448" s="113">
        <f t="shared" si="149"/>
        <v>0</v>
      </c>
      <c r="AC448" s="36"/>
      <c r="AD448" s="272" t="str">
        <f t="shared" si="150"/>
        <v/>
      </c>
      <c r="AE448" s="273">
        <f t="shared" si="151"/>
        <v>0</v>
      </c>
      <c r="AF448" s="273">
        <f t="shared" si="152"/>
        <v>0</v>
      </c>
      <c r="AG448" s="273">
        <f t="shared" si="153"/>
        <v>0</v>
      </c>
      <c r="AH448" s="273">
        <f t="shared" si="154"/>
        <v>0</v>
      </c>
      <c r="AI448" s="273">
        <f t="shared" si="155"/>
        <v>0</v>
      </c>
      <c r="AJ448" s="273">
        <f t="shared" si="156"/>
        <v>0</v>
      </c>
      <c r="AK448" s="273">
        <f t="shared" si="157"/>
        <v>0</v>
      </c>
      <c r="AL448" s="274">
        <f t="shared" si="158"/>
        <v>0</v>
      </c>
      <c r="AN448" s="75" t="str">
        <f t="shared" si="159"/>
        <v>-</v>
      </c>
      <c r="AO448" s="75" t="str">
        <f t="shared" si="160"/>
        <v>-</v>
      </c>
      <c r="AP448" s="48">
        <f t="shared" si="163"/>
        <v>0</v>
      </c>
      <c r="AQ448" s="48">
        <f t="shared" si="161"/>
        <v>0</v>
      </c>
      <c r="AR448" s="49" t="e">
        <f t="shared" si="162"/>
        <v>#N/A</v>
      </c>
    </row>
    <row r="449" spans="1:44" ht="15">
      <c r="A449" s="38"/>
      <c r="B449" s="38"/>
      <c r="C449" s="38"/>
      <c r="D449" s="38"/>
      <c r="E449" s="38"/>
      <c r="F449" s="38"/>
      <c r="G449" s="47">
        <f t="shared" si="144"/>
        <v>6.5978850116714893E-2</v>
      </c>
      <c r="H449" s="44"/>
      <c r="I449" s="44"/>
      <c r="J449" s="45">
        <f t="shared" si="164"/>
        <v>0</v>
      </c>
      <c r="K449" s="38"/>
      <c r="L449" s="38"/>
      <c r="M449" s="38"/>
      <c r="N449" s="34" t="e">
        <f>VLOOKUP(F449,'GHG Emissions Factors'!$B$2:$C$4000,2,FALSE)</f>
        <v>#N/A</v>
      </c>
      <c r="O449" s="45" t="e">
        <f t="shared" si="145"/>
        <v>#N/A</v>
      </c>
      <c r="P449" s="34">
        <f>IF(L449="yes", 0, _xlfn.XLOOKUP(F449, 'GHG Emissions Factors'!$B$2:$B$4000, 'GHG Emissions Factors'!$D$2:$D$4000, 0))</f>
        <v>0</v>
      </c>
      <c r="Q449" s="46"/>
      <c r="R449" s="46"/>
      <c r="S449" s="46">
        <f>ProcurementAllocationData[[#This Row],[Net MWhs Procured]]-(ProcurementAllocationData[[#This Row],[Deep Green]]+ProcurementAllocationData[[#This Row],[LocalSol]]+ProcurementAllocationData[[#This Row],[GreenAccess]])</f>
        <v>0</v>
      </c>
      <c r="T449" s="46"/>
      <c r="U449" s="46"/>
      <c r="V449" s="46"/>
      <c r="W449" s="46"/>
      <c r="X449" s="46"/>
      <c r="Y449" s="112">
        <f t="shared" si="146"/>
        <v>0</v>
      </c>
      <c r="Z449" s="150">
        <f t="shared" si="147"/>
        <v>0</v>
      </c>
      <c r="AA449" s="150">
        <f t="shared" si="148"/>
        <v>0</v>
      </c>
      <c r="AB449" s="113">
        <f t="shared" si="149"/>
        <v>0</v>
      </c>
      <c r="AC449" s="36"/>
      <c r="AD449" s="272" t="str">
        <f t="shared" si="150"/>
        <v/>
      </c>
      <c r="AE449" s="273">
        <f t="shared" si="151"/>
        <v>0</v>
      </c>
      <c r="AF449" s="273">
        <f t="shared" si="152"/>
        <v>0</v>
      </c>
      <c r="AG449" s="273">
        <f t="shared" si="153"/>
        <v>0</v>
      </c>
      <c r="AH449" s="273">
        <f t="shared" si="154"/>
        <v>0</v>
      </c>
      <c r="AI449" s="273">
        <f t="shared" si="155"/>
        <v>0</v>
      </c>
      <c r="AJ449" s="273">
        <f t="shared" si="156"/>
        <v>0</v>
      </c>
      <c r="AK449" s="273">
        <f t="shared" si="157"/>
        <v>0</v>
      </c>
      <c r="AL449" s="274">
        <f t="shared" si="158"/>
        <v>0</v>
      </c>
      <c r="AN449" s="75" t="str">
        <f t="shared" si="159"/>
        <v>-</v>
      </c>
      <c r="AO449" s="75" t="str">
        <f t="shared" si="160"/>
        <v>-</v>
      </c>
      <c r="AP449" s="48">
        <f t="shared" si="163"/>
        <v>0</v>
      </c>
      <c r="AQ449" s="48">
        <f t="shared" si="161"/>
        <v>0</v>
      </c>
      <c r="AR449" s="49" t="e">
        <f t="shared" si="162"/>
        <v>#N/A</v>
      </c>
    </row>
    <row r="450" spans="1:44" ht="15">
      <c r="A450" s="38"/>
      <c r="B450" s="38"/>
      <c r="C450" s="38"/>
      <c r="D450" s="38"/>
      <c r="E450" s="38"/>
      <c r="F450" s="38"/>
      <c r="G450" s="47">
        <f t="shared" si="144"/>
        <v>6.5978850116714893E-2</v>
      </c>
      <c r="H450" s="44"/>
      <c r="I450" s="44"/>
      <c r="J450" s="45">
        <f t="shared" si="164"/>
        <v>0</v>
      </c>
      <c r="K450" s="38"/>
      <c r="L450" s="38"/>
      <c r="M450" s="38"/>
      <c r="N450" s="34" t="e">
        <f>VLOOKUP(F450,'GHG Emissions Factors'!$B$2:$C$4000,2,FALSE)</f>
        <v>#N/A</v>
      </c>
      <c r="O450" s="45" t="e">
        <f t="shared" si="145"/>
        <v>#N/A</v>
      </c>
      <c r="P450" s="34">
        <f>IF(L450="yes", 0, _xlfn.XLOOKUP(F450, 'GHG Emissions Factors'!$B$2:$B$4000, 'GHG Emissions Factors'!$D$2:$D$4000, 0))</f>
        <v>0</v>
      </c>
      <c r="Q450" s="46"/>
      <c r="R450" s="46"/>
      <c r="S450" s="46">
        <f>ProcurementAllocationData[[#This Row],[Net MWhs Procured]]-(ProcurementAllocationData[[#This Row],[Deep Green]]+ProcurementAllocationData[[#This Row],[LocalSol]]+ProcurementAllocationData[[#This Row],[GreenAccess]])</f>
        <v>0</v>
      </c>
      <c r="T450" s="46"/>
      <c r="U450" s="46"/>
      <c r="V450" s="46"/>
      <c r="W450" s="46"/>
      <c r="X450" s="46"/>
      <c r="Y450" s="112">
        <f t="shared" si="146"/>
        <v>0</v>
      </c>
      <c r="Z450" s="150">
        <f t="shared" si="147"/>
        <v>0</v>
      </c>
      <c r="AA450" s="150">
        <f t="shared" si="148"/>
        <v>0</v>
      </c>
      <c r="AB450" s="113">
        <f t="shared" si="149"/>
        <v>0</v>
      </c>
      <c r="AC450" s="36"/>
      <c r="AD450" s="272" t="str">
        <f t="shared" si="150"/>
        <v/>
      </c>
      <c r="AE450" s="273">
        <f t="shared" si="151"/>
        <v>0</v>
      </c>
      <c r="AF450" s="273">
        <f t="shared" si="152"/>
        <v>0</v>
      </c>
      <c r="AG450" s="273">
        <f t="shared" si="153"/>
        <v>0</v>
      </c>
      <c r="AH450" s="273">
        <f t="shared" si="154"/>
        <v>0</v>
      </c>
      <c r="AI450" s="273">
        <f t="shared" si="155"/>
        <v>0</v>
      </c>
      <c r="AJ450" s="273">
        <f t="shared" si="156"/>
        <v>0</v>
      </c>
      <c r="AK450" s="273">
        <f t="shared" si="157"/>
        <v>0</v>
      </c>
      <c r="AL450" s="274">
        <f t="shared" si="158"/>
        <v>0</v>
      </c>
      <c r="AN450" s="75" t="str">
        <f t="shared" si="159"/>
        <v>-</v>
      </c>
      <c r="AO450" s="75" t="str">
        <f t="shared" si="160"/>
        <v>-</v>
      </c>
      <c r="AP450" s="48">
        <f t="shared" si="163"/>
        <v>0</v>
      </c>
      <c r="AQ450" s="48">
        <f t="shared" si="161"/>
        <v>0</v>
      </c>
      <c r="AR450" s="49" t="e">
        <f t="shared" si="162"/>
        <v>#N/A</v>
      </c>
    </row>
    <row r="451" spans="1:44" ht="15">
      <c r="A451" s="38"/>
      <c r="B451" s="38"/>
      <c r="C451" s="38"/>
      <c r="D451" s="38"/>
      <c r="E451" s="38"/>
      <c r="F451" s="38"/>
      <c r="G451" s="47">
        <f t="shared" si="144"/>
        <v>6.5978850116714893E-2</v>
      </c>
      <c r="H451" s="44"/>
      <c r="I451" s="44"/>
      <c r="J451" s="45">
        <f t="shared" si="164"/>
        <v>0</v>
      </c>
      <c r="K451" s="38"/>
      <c r="L451" s="38"/>
      <c r="M451" s="38"/>
      <c r="N451" s="34" t="e">
        <f>VLOOKUP(F451,'GHG Emissions Factors'!$B$2:$C$4000,2,FALSE)</f>
        <v>#N/A</v>
      </c>
      <c r="O451" s="45" t="e">
        <f t="shared" si="145"/>
        <v>#N/A</v>
      </c>
      <c r="P451" s="34">
        <f>IF(L451="yes", 0, _xlfn.XLOOKUP(F451, 'GHG Emissions Factors'!$B$2:$B$4000, 'GHG Emissions Factors'!$D$2:$D$4000, 0))</f>
        <v>0</v>
      </c>
      <c r="Q451" s="46"/>
      <c r="R451" s="46"/>
      <c r="S451" s="46">
        <f>ProcurementAllocationData[[#This Row],[Net MWhs Procured]]-(ProcurementAllocationData[[#This Row],[Deep Green]]+ProcurementAllocationData[[#This Row],[LocalSol]]+ProcurementAllocationData[[#This Row],[GreenAccess]])</f>
        <v>0</v>
      </c>
      <c r="T451" s="46"/>
      <c r="U451" s="46"/>
      <c r="V451" s="46"/>
      <c r="W451" s="46"/>
      <c r="X451" s="46"/>
      <c r="Y451" s="112">
        <f t="shared" si="146"/>
        <v>0</v>
      </c>
      <c r="Z451" s="150">
        <f t="shared" si="147"/>
        <v>0</v>
      </c>
      <c r="AA451" s="150">
        <f t="shared" si="148"/>
        <v>0</v>
      </c>
      <c r="AB451" s="113">
        <f t="shared" si="149"/>
        <v>0</v>
      </c>
      <c r="AC451" s="36"/>
      <c r="AD451" s="272" t="str">
        <f t="shared" si="150"/>
        <v/>
      </c>
      <c r="AE451" s="273">
        <f t="shared" si="151"/>
        <v>0</v>
      </c>
      <c r="AF451" s="273">
        <f t="shared" si="152"/>
        <v>0</v>
      </c>
      <c r="AG451" s="273">
        <f t="shared" si="153"/>
        <v>0</v>
      </c>
      <c r="AH451" s="273">
        <f t="shared" si="154"/>
        <v>0</v>
      </c>
      <c r="AI451" s="273">
        <f t="shared" si="155"/>
        <v>0</v>
      </c>
      <c r="AJ451" s="273">
        <f t="shared" si="156"/>
        <v>0</v>
      </c>
      <c r="AK451" s="273">
        <f t="shared" si="157"/>
        <v>0</v>
      </c>
      <c r="AL451" s="274">
        <f t="shared" si="158"/>
        <v>0</v>
      </c>
      <c r="AN451" s="75" t="str">
        <f t="shared" si="159"/>
        <v>-</v>
      </c>
      <c r="AO451" s="75" t="str">
        <f t="shared" si="160"/>
        <v>-</v>
      </c>
      <c r="AP451" s="48">
        <f t="shared" si="163"/>
        <v>0</v>
      </c>
      <c r="AQ451" s="48">
        <f t="shared" si="161"/>
        <v>0</v>
      </c>
      <c r="AR451" s="49" t="e">
        <f t="shared" si="162"/>
        <v>#N/A</v>
      </c>
    </row>
    <row r="452" spans="1:44" ht="15">
      <c r="A452" s="38"/>
      <c r="B452" s="38"/>
      <c r="C452" s="38"/>
      <c r="D452" s="38"/>
      <c r="E452" s="38"/>
      <c r="F452" s="38"/>
      <c r="G452" s="47">
        <f t="shared" si="144"/>
        <v>6.5978850116714893E-2</v>
      </c>
      <c r="H452" s="44"/>
      <c r="I452" s="44"/>
      <c r="J452" s="45">
        <f t="shared" si="164"/>
        <v>0</v>
      </c>
      <c r="K452" s="38"/>
      <c r="L452" s="38"/>
      <c r="M452" s="38"/>
      <c r="N452" s="34" t="e">
        <f>VLOOKUP(F452,'GHG Emissions Factors'!$B$2:$C$4000,2,FALSE)</f>
        <v>#N/A</v>
      </c>
      <c r="O452" s="45" t="e">
        <f t="shared" si="145"/>
        <v>#N/A</v>
      </c>
      <c r="P452" s="34">
        <f>IF(L452="yes", 0, _xlfn.XLOOKUP(F452, 'GHG Emissions Factors'!$B$2:$B$4000, 'GHG Emissions Factors'!$D$2:$D$4000, 0))</f>
        <v>0</v>
      </c>
      <c r="Q452" s="46"/>
      <c r="R452" s="46"/>
      <c r="S452" s="46">
        <f>ProcurementAllocationData[[#This Row],[Net MWhs Procured]]-(ProcurementAllocationData[[#This Row],[Deep Green]]+ProcurementAllocationData[[#This Row],[LocalSol]]+ProcurementAllocationData[[#This Row],[GreenAccess]])</f>
        <v>0</v>
      </c>
      <c r="T452" s="46"/>
      <c r="U452" s="46"/>
      <c r="V452" s="46"/>
      <c r="W452" s="46"/>
      <c r="X452" s="46"/>
      <c r="Y452" s="112">
        <f t="shared" si="146"/>
        <v>0</v>
      </c>
      <c r="Z452" s="150">
        <f t="shared" si="147"/>
        <v>0</v>
      </c>
      <c r="AA452" s="150">
        <f t="shared" si="148"/>
        <v>0</v>
      </c>
      <c r="AB452" s="113">
        <f t="shared" si="149"/>
        <v>0</v>
      </c>
      <c r="AC452" s="36"/>
      <c r="AD452" s="272" t="str">
        <f t="shared" si="150"/>
        <v/>
      </c>
      <c r="AE452" s="273">
        <f t="shared" si="151"/>
        <v>0</v>
      </c>
      <c r="AF452" s="273">
        <f t="shared" si="152"/>
        <v>0</v>
      </c>
      <c r="AG452" s="273">
        <f t="shared" si="153"/>
        <v>0</v>
      </c>
      <c r="AH452" s="273">
        <f t="shared" si="154"/>
        <v>0</v>
      </c>
      <c r="AI452" s="273">
        <f t="shared" si="155"/>
        <v>0</v>
      </c>
      <c r="AJ452" s="273">
        <f t="shared" si="156"/>
        <v>0</v>
      </c>
      <c r="AK452" s="273">
        <f t="shared" si="157"/>
        <v>0</v>
      </c>
      <c r="AL452" s="274">
        <f t="shared" si="158"/>
        <v>0</v>
      </c>
      <c r="AN452" s="75" t="str">
        <f t="shared" si="159"/>
        <v>-</v>
      </c>
      <c r="AO452" s="75" t="str">
        <f t="shared" si="160"/>
        <v>-</v>
      </c>
      <c r="AP452" s="48">
        <f t="shared" si="163"/>
        <v>0</v>
      </c>
      <c r="AQ452" s="48">
        <f t="shared" si="161"/>
        <v>0</v>
      </c>
      <c r="AR452" s="49" t="e">
        <f t="shared" si="162"/>
        <v>#N/A</v>
      </c>
    </row>
    <row r="453" spans="1:44" ht="15">
      <c r="A453" s="38"/>
      <c r="B453" s="38"/>
      <c r="C453" s="38"/>
      <c r="D453" s="38"/>
      <c r="E453" s="38"/>
      <c r="F453" s="38"/>
      <c r="G453" s="47">
        <f t="shared" si="144"/>
        <v>6.5978850116714893E-2</v>
      </c>
      <c r="H453" s="44"/>
      <c r="I453" s="44"/>
      <c r="J453" s="45">
        <f t="shared" si="164"/>
        <v>0</v>
      </c>
      <c r="K453" s="38"/>
      <c r="L453" s="38"/>
      <c r="M453" s="38"/>
      <c r="N453" s="34" t="e">
        <f>VLOOKUP(F453,'GHG Emissions Factors'!$B$2:$C$4000,2,FALSE)</f>
        <v>#N/A</v>
      </c>
      <c r="O453" s="45" t="e">
        <f t="shared" si="145"/>
        <v>#N/A</v>
      </c>
      <c r="P453" s="34">
        <f>IF(L453="yes", 0, _xlfn.XLOOKUP(F453, 'GHG Emissions Factors'!$B$2:$B$4000, 'GHG Emissions Factors'!$D$2:$D$4000, 0))</f>
        <v>0</v>
      </c>
      <c r="Q453" s="46"/>
      <c r="R453" s="46"/>
      <c r="S453" s="46">
        <f>ProcurementAllocationData[[#This Row],[Net MWhs Procured]]-(ProcurementAllocationData[[#This Row],[Deep Green]]+ProcurementAllocationData[[#This Row],[LocalSol]]+ProcurementAllocationData[[#This Row],[GreenAccess]])</f>
        <v>0</v>
      </c>
      <c r="T453" s="46"/>
      <c r="U453" s="46"/>
      <c r="V453" s="46"/>
      <c r="W453" s="46"/>
      <c r="X453" s="46"/>
      <c r="Y453" s="112">
        <f t="shared" si="146"/>
        <v>0</v>
      </c>
      <c r="Z453" s="150">
        <f t="shared" si="147"/>
        <v>0</v>
      </c>
      <c r="AA453" s="150">
        <f t="shared" si="148"/>
        <v>0</v>
      </c>
      <c r="AB453" s="113">
        <f t="shared" si="149"/>
        <v>0</v>
      </c>
      <c r="AC453" s="36"/>
      <c r="AD453" s="272" t="str">
        <f t="shared" si="150"/>
        <v/>
      </c>
      <c r="AE453" s="273">
        <f t="shared" si="151"/>
        <v>0</v>
      </c>
      <c r="AF453" s="273">
        <f t="shared" si="152"/>
        <v>0</v>
      </c>
      <c r="AG453" s="273">
        <f t="shared" si="153"/>
        <v>0</v>
      </c>
      <c r="AH453" s="273">
        <f t="shared" si="154"/>
        <v>0</v>
      </c>
      <c r="AI453" s="273">
        <f t="shared" si="155"/>
        <v>0</v>
      </c>
      <c r="AJ453" s="273">
        <f t="shared" si="156"/>
        <v>0</v>
      </c>
      <c r="AK453" s="273">
        <f t="shared" si="157"/>
        <v>0</v>
      </c>
      <c r="AL453" s="274">
        <f t="shared" si="158"/>
        <v>0</v>
      </c>
      <c r="AN453" s="75" t="str">
        <f t="shared" si="159"/>
        <v>-</v>
      </c>
      <c r="AO453" s="75" t="str">
        <f t="shared" si="160"/>
        <v>-</v>
      </c>
      <c r="AP453" s="48">
        <f t="shared" si="163"/>
        <v>0</v>
      </c>
      <c r="AQ453" s="48">
        <f t="shared" si="161"/>
        <v>0</v>
      </c>
      <c r="AR453" s="49" t="e">
        <f t="shared" si="162"/>
        <v>#N/A</v>
      </c>
    </row>
    <row r="454" spans="1:44" ht="15">
      <c r="A454" s="38"/>
      <c r="B454" s="38"/>
      <c r="C454" s="38"/>
      <c r="D454" s="38"/>
      <c r="E454" s="38"/>
      <c r="F454" s="38"/>
      <c r="G454" s="47">
        <f t="shared" si="144"/>
        <v>6.5978850116714893E-2</v>
      </c>
      <c r="H454" s="44"/>
      <c r="I454" s="44"/>
      <c r="J454" s="45">
        <f t="shared" si="164"/>
        <v>0</v>
      </c>
      <c r="K454" s="38"/>
      <c r="L454" s="38"/>
      <c r="M454" s="38"/>
      <c r="N454" s="34" t="e">
        <f>VLOOKUP(F454,'GHG Emissions Factors'!$B$2:$C$4000,2,FALSE)</f>
        <v>#N/A</v>
      </c>
      <c r="O454" s="45" t="e">
        <f t="shared" si="145"/>
        <v>#N/A</v>
      </c>
      <c r="P454" s="34">
        <f>IF(L454="yes", 0, _xlfn.XLOOKUP(F454, 'GHG Emissions Factors'!$B$2:$B$4000, 'GHG Emissions Factors'!$D$2:$D$4000, 0))</f>
        <v>0</v>
      </c>
      <c r="Q454" s="46"/>
      <c r="R454" s="46"/>
      <c r="S454" s="46">
        <f>ProcurementAllocationData[[#This Row],[Net MWhs Procured]]-(ProcurementAllocationData[[#This Row],[Deep Green]]+ProcurementAllocationData[[#This Row],[LocalSol]]+ProcurementAllocationData[[#This Row],[GreenAccess]])</f>
        <v>0</v>
      </c>
      <c r="T454" s="46"/>
      <c r="U454" s="46"/>
      <c r="V454" s="46"/>
      <c r="W454" s="46"/>
      <c r="X454" s="46"/>
      <c r="Y454" s="112">
        <f t="shared" si="146"/>
        <v>0</v>
      </c>
      <c r="Z454" s="150">
        <f t="shared" si="147"/>
        <v>0</v>
      </c>
      <c r="AA454" s="150">
        <f t="shared" si="148"/>
        <v>0</v>
      </c>
      <c r="AB454" s="113">
        <f t="shared" si="149"/>
        <v>0</v>
      </c>
      <c r="AC454" s="36"/>
      <c r="AD454" s="272" t="str">
        <f t="shared" si="150"/>
        <v/>
      </c>
      <c r="AE454" s="273">
        <f t="shared" si="151"/>
        <v>0</v>
      </c>
      <c r="AF454" s="273">
        <f t="shared" si="152"/>
        <v>0</v>
      </c>
      <c r="AG454" s="273">
        <f t="shared" si="153"/>
        <v>0</v>
      </c>
      <c r="AH454" s="273">
        <f t="shared" si="154"/>
        <v>0</v>
      </c>
      <c r="AI454" s="273">
        <f t="shared" si="155"/>
        <v>0</v>
      </c>
      <c r="AJ454" s="273">
        <f t="shared" si="156"/>
        <v>0</v>
      </c>
      <c r="AK454" s="273">
        <f t="shared" si="157"/>
        <v>0</v>
      </c>
      <c r="AL454" s="274">
        <f t="shared" si="158"/>
        <v>0</v>
      </c>
      <c r="AN454" s="75" t="str">
        <f t="shared" si="159"/>
        <v>-</v>
      </c>
      <c r="AO454" s="75" t="str">
        <f t="shared" si="160"/>
        <v>-</v>
      </c>
      <c r="AP454" s="48">
        <f t="shared" si="163"/>
        <v>0</v>
      </c>
      <c r="AQ454" s="48">
        <f t="shared" si="161"/>
        <v>0</v>
      </c>
      <c r="AR454" s="49" t="e">
        <f t="shared" si="162"/>
        <v>#N/A</v>
      </c>
    </row>
    <row r="455" spans="1:44" ht="15">
      <c r="A455" s="38"/>
      <c r="B455" s="38"/>
      <c r="C455" s="38"/>
      <c r="D455" s="38"/>
      <c r="E455" s="38"/>
      <c r="F455" s="38"/>
      <c r="G455" s="47">
        <f t="shared" si="144"/>
        <v>6.5978850116714893E-2</v>
      </c>
      <c r="H455" s="44"/>
      <c r="I455" s="44"/>
      <c r="J455" s="45">
        <f t="shared" si="164"/>
        <v>0</v>
      </c>
      <c r="K455" s="38"/>
      <c r="L455" s="38"/>
      <c r="M455" s="38"/>
      <c r="N455" s="34" t="e">
        <f>VLOOKUP(F455,'GHG Emissions Factors'!$B$2:$C$4000,2,FALSE)</f>
        <v>#N/A</v>
      </c>
      <c r="O455" s="45" t="e">
        <f t="shared" si="145"/>
        <v>#N/A</v>
      </c>
      <c r="P455" s="34">
        <f>IF(L455="yes", 0, _xlfn.XLOOKUP(F455, 'GHG Emissions Factors'!$B$2:$B$4000, 'GHG Emissions Factors'!$D$2:$D$4000, 0))</f>
        <v>0</v>
      </c>
      <c r="Q455" s="46"/>
      <c r="R455" s="46"/>
      <c r="S455" s="46">
        <f>ProcurementAllocationData[[#This Row],[Net MWhs Procured]]-(ProcurementAllocationData[[#This Row],[Deep Green]]+ProcurementAllocationData[[#This Row],[LocalSol]]+ProcurementAllocationData[[#This Row],[GreenAccess]])</f>
        <v>0</v>
      </c>
      <c r="T455" s="46"/>
      <c r="U455" s="46"/>
      <c r="V455" s="46"/>
      <c r="W455" s="46"/>
      <c r="X455" s="46"/>
      <c r="Y455" s="112">
        <f t="shared" si="146"/>
        <v>0</v>
      </c>
      <c r="Z455" s="150">
        <f t="shared" si="147"/>
        <v>0</v>
      </c>
      <c r="AA455" s="150">
        <f t="shared" si="148"/>
        <v>0</v>
      </c>
      <c r="AB455" s="113">
        <f t="shared" si="149"/>
        <v>0</v>
      </c>
      <c r="AC455" s="36"/>
      <c r="AD455" s="272" t="str">
        <f t="shared" si="150"/>
        <v/>
      </c>
      <c r="AE455" s="273">
        <f t="shared" si="151"/>
        <v>0</v>
      </c>
      <c r="AF455" s="273">
        <f t="shared" si="152"/>
        <v>0</v>
      </c>
      <c r="AG455" s="273">
        <f t="shared" si="153"/>
        <v>0</v>
      </c>
      <c r="AH455" s="273">
        <f t="shared" si="154"/>
        <v>0</v>
      </c>
      <c r="AI455" s="273">
        <f t="shared" si="155"/>
        <v>0</v>
      </c>
      <c r="AJ455" s="273">
        <f t="shared" si="156"/>
        <v>0</v>
      </c>
      <c r="AK455" s="273">
        <f t="shared" si="157"/>
        <v>0</v>
      </c>
      <c r="AL455" s="274">
        <f t="shared" si="158"/>
        <v>0</v>
      </c>
      <c r="AN455" s="75" t="str">
        <f t="shared" si="159"/>
        <v>-</v>
      </c>
      <c r="AO455" s="75" t="str">
        <f t="shared" si="160"/>
        <v>-</v>
      </c>
      <c r="AP455" s="48">
        <f t="shared" si="163"/>
        <v>0</v>
      </c>
      <c r="AQ455" s="48">
        <f t="shared" si="161"/>
        <v>0</v>
      </c>
      <c r="AR455" s="49" t="e">
        <f t="shared" si="162"/>
        <v>#N/A</v>
      </c>
    </row>
    <row r="456" spans="1:44" ht="15">
      <c r="A456" s="38"/>
      <c r="B456" s="38"/>
      <c r="C456" s="38"/>
      <c r="D456" s="38"/>
      <c r="E456" s="38"/>
      <c r="F456" s="38"/>
      <c r="G456" s="47">
        <f t="shared" si="144"/>
        <v>6.5978850116714893E-2</v>
      </c>
      <c r="H456" s="44"/>
      <c r="I456" s="44"/>
      <c r="J456" s="45">
        <f t="shared" si="164"/>
        <v>0</v>
      </c>
      <c r="K456" s="38"/>
      <c r="L456" s="38"/>
      <c r="M456" s="38"/>
      <c r="N456" s="34" t="e">
        <f>VLOOKUP(F456,'GHG Emissions Factors'!$B$2:$C$4000,2,FALSE)</f>
        <v>#N/A</v>
      </c>
      <c r="O456" s="45" t="e">
        <f t="shared" si="145"/>
        <v>#N/A</v>
      </c>
      <c r="P456" s="34">
        <f>IF(L456="yes", 0, _xlfn.XLOOKUP(F456, 'GHG Emissions Factors'!$B$2:$B$4000, 'GHG Emissions Factors'!$D$2:$D$4000, 0))</f>
        <v>0</v>
      </c>
      <c r="Q456" s="46"/>
      <c r="R456" s="46"/>
      <c r="S456" s="46">
        <f>ProcurementAllocationData[[#This Row],[Net MWhs Procured]]-(ProcurementAllocationData[[#This Row],[Deep Green]]+ProcurementAllocationData[[#This Row],[LocalSol]]+ProcurementAllocationData[[#This Row],[GreenAccess]])</f>
        <v>0</v>
      </c>
      <c r="T456" s="46"/>
      <c r="U456" s="46"/>
      <c r="V456" s="46"/>
      <c r="W456" s="46"/>
      <c r="X456" s="46"/>
      <c r="Y456" s="112">
        <f t="shared" si="146"/>
        <v>0</v>
      </c>
      <c r="Z456" s="150">
        <f t="shared" si="147"/>
        <v>0</v>
      </c>
      <c r="AA456" s="150">
        <f t="shared" si="148"/>
        <v>0</v>
      </c>
      <c r="AB456" s="113">
        <f t="shared" si="149"/>
        <v>0</v>
      </c>
      <c r="AC456" s="36"/>
      <c r="AD456" s="272" t="str">
        <f t="shared" si="150"/>
        <v/>
      </c>
      <c r="AE456" s="273">
        <f t="shared" si="151"/>
        <v>0</v>
      </c>
      <c r="AF456" s="273">
        <f t="shared" si="152"/>
        <v>0</v>
      </c>
      <c r="AG456" s="273">
        <f t="shared" si="153"/>
        <v>0</v>
      </c>
      <c r="AH456" s="273">
        <f t="shared" si="154"/>
        <v>0</v>
      </c>
      <c r="AI456" s="273">
        <f t="shared" si="155"/>
        <v>0</v>
      </c>
      <c r="AJ456" s="273">
        <f t="shared" si="156"/>
        <v>0</v>
      </c>
      <c r="AK456" s="273">
        <f t="shared" si="157"/>
        <v>0</v>
      </c>
      <c r="AL456" s="274">
        <f t="shared" si="158"/>
        <v>0</v>
      </c>
      <c r="AN456" s="75" t="str">
        <f t="shared" si="159"/>
        <v>-</v>
      </c>
      <c r="AO456" s="75" t="str">
        <f t="shared" si="160"/>
        <v>-</v>
      </c>
      <c r="AP456" s="48">
        <f t="shared" si="163"/>
        <v>0</v>
      </c>
      <c r="AQ456" s="48">
        <f t="shared" si="161"/>
        <v>0</v>
      </c>
      <c r="AR456" s="49" t="e">
        <f t="shared" si="162"/>
        <v>#N/A</v>
      </c>
    </row>
    <row r="457" spans="1:44" ht="15">
      <c r="A457" s="38"/>
      <c r="B457" s="38"/>
      <c r="C457" s="38"/>
      <c r="D457" s="38"/>
      <c r="E457" s="38"/>
      <c r="F457" s="38"/>
      <c r="G457" s="47">
        <f t="shared" si="144"/>
        <v>6.5978850116714893E-2</v>
      </c>
      <c r="H457" s="44"/>
      <c r="I457" s="44"/>
      <c r="J457" s="45">
        <f t="shared" si="164"/>
        <v>0</v>
      </c>
      <c r="K457" s="38"/>
      <c r="L457" s="38"/>
      <c r="M457" s="38"/>
      <c r="N457" s="34" t="e">
        <f>VLOOKUP(F457,'GHG Emissions Factors'!$B$2:$C$4000,2,FALSE)</f>
        <v>#N/A</v>
      </c>
      <c r="O457" s="45" t="e">
        <f t="shared" si="145"/>
        <v>#N/A</v>
      </c>
      <c r="P457" s="34">
        <f>IF(L457="yes", 0, _xlfn.XLOOKUP(F457, 'GHG Emissions Factors'!$B$2:$B$4000, 'GHG Emissions Factors'!$D$2:$D$4000, 0))</f>
        <v>0</v>
      </c>
      <c r="Q457" s="46"/>
      <c r="R457" s="46"/>
      <c r="S457" s="46">
        <f>ProcurementAllocationData[[#This Row],[Net MWhs Procured]]-(ProcurementAllocationData[[#This Row],[Deep Green]]+ProcurementAllocationData[[#This Row],[LocalSol]]+ProcurementAllocationData[[#This Row],[GreenAccess]])</f>
        <v>0</v>
      </c>
      <c r="T457" s="46"/>
      <c r="U457" s="46"/>
      <c r="V457" s="46"/>
      <c r="W457" s="46"/>
      <c r="X457" s="46"/>
      <c r="Y457" s="112">
        <f t="shared" si="146"/>
        <v>0</v>
      </c>
      <c r="Z457" s="150">
        <f t="shared" si="147"/>
        <v>0</v>
      </c>
      <c r="AA457" s="150">
        <f t="shared" si="148"/>
        <v>0</v>
      </c>
      <c r="AB457" s="113">
        <f t="shared" si="149"/>
        <v>0</v>
      </c>
      <c r="AC457" s="36"/>
      <c r="AD457" s="272" t="str">
        <f t="shared" si="150"/>
        <v/>
      </c>
      <c r="AE457" s="273">
        <f t="shared" si="151"/>
        <v>0</v>
      </c>
      <c r="AF457" s="273">
        <f t="shared" si="152"/>
        <v>0</v>
      </c>
      <c r="AG457" s="273">
        <f t="shared" si="153"/>
        <v>0</v>
      </c>
      <c r="AH457" s="273">
        <f t="shared" si="154"/>
        <v>0</v>
      </c>
      <c r="AI457" s="273">
        <f t="shared" si="155"/>
        <v>0</v>
      </c>
      <c r="AJ457" s="273">
        <f t="shared" si="156"/>
        <v>0</v>
      </c>
      <c r="AK457" s="273">
        <f t="shared" si="157"/>
        <v>0</v>
      </c>
      <c r="AL457" s="274">
        <f t="shared" si="158"/>
        <v>0</v>
      </c>
      <c r="AN457" s="75" t="str">
        <f t="shared" si="159"/>
        <v>-</v>
      </c>
      <c r="AO457" s="75" t="str">
        <f t="shared" si="160"/>
        <v>-</v>
      </c>
      <c r="AP457" s="48">
        <f t="shared" si="163"/>
        <v>0</v>
      </c>
      <c r="AQ457" s="48">
        <f t="shared" si="161"/>
        <v>0</v>
      </c>
      <c r="AR457" s="49" t="e">
        <f t="shared" si="162"/>
        <v>#N/A</v>
      </c>
    </row>
    <row r="458" spans="1:44" ht="15">
      <c r="A458" s="38"/>
      <c r="B458" s="38"/>
      <c r="C458" s="38"/>
      <c r="D458" s="38"/>
      <c r="E458" s="38"/>
      <c r="F458" s="38"/>
      <c r="G458" s="47">
        <f t="shared" si="144"/>
        <v>6.5978850116714893E-2</v>
      </c>
      <c r="H458" s="44"/>
      <c r="I458" s="44"/>
      <c r="J458" s="45">
        <f t="shared" si="164"/>
        <v>0</v>
      </c>
      <c r="K458" s="38"/>
      <c r="L458" s="38"/>
      <c r="M458" s="38"/>
      <c r="N458" s="34" t="e">
        <f>VLOOKUP(F458,'GHG Emissions Factors'!$B$2:$C$4000,2,FALSE)</f>
        <v>#N/A</v>
      </c>
      <c r="O458" s="45" t="e">
        <f t="shared" si="145"/>
        <v>#N/A</v>
      </c>
      <c r="P458" s="34">
        <f>IF(L458="yes", 0, _xlfn.XLOOKUP(F458, 'GHG Emissions Factors'!$B$2:$B$4000, 'GHG Emissions Factors'!$D$2:$D$4000, 0))</f>
        <v>0</v>
      </c>
      <c r="Q458" s="46"/>
      <c r="R458" s="46"/>
      <c r="S458" s="46">
        <f>ProcurementAllocationData[[#This Row],[Net MWhs Procured]]-(ProcurementAllocationData[[#This Row],[Deep Green]]+ProcurementAllocationData[[#This Row],[LocalSol]]+ProcurementAllocationData[[#This Row],[GreenAccess]])</f>
        <v>0</v>
      </c>
      <c r="T458" s="46"/>
      <c r="U458" s="46"/>
      <c r="V458" s="46"/>
      <c r="W458" s="46"/>
      <c r="X458" s="46"/>
      <c r="Y458" s="112">
        <f t="shared" si="146"/>
        <v>0</v>
      </c>
      <c r="Z458" s="150">
        <f t="shared" si="147"/>
        <v>0</v>
      </c>
      <c r="AA458" s="150">
        <f t="shared" si="148"/>
        <v>0</v>
      </c>
      <c r="AB458" s="113">
        <f t="shared" si="149"/>
        <v>0</v>
      </c>
      <c r="AC458" s="36"/>
      <c r="AD458" s="272" t="str">
        <f t="shared" si="150"/>
        <v/>
      </c>
      <c r="AE458" s="273">
        <f t="shared" si="151"/>
        <v>0</v>
      </c>
      <c r="AF458" s="273">
        <f t="shared" si="152"/>
        <v>0</v>
      </c>
      <c r="AG458" s="273">
        <f t="shared" si="153"/>
        <v>0</v>
      </c>
      <c r="AH458" s="273">
        <f t="shared" si="154"/>
        <v>0</v>
      </c>
      <c r="AI458" s="273">
        <f t="shared" si="155"/>
        <v>0</v>
      </c>
      <c r="AJ458" s="273">
        <f t="shared" si="156"/>
        <v>0</v>
      </c>
      <c r="AK458" s="273">
        <f t="shared" si="157"/>
        <v>0</v>
      </c>
      <c r="AL458" s="274">
        <f t="shared" si="158"/>
        <v>0</v>
      </c>
      <c r="AN458" s="75" t="str">
        <f t="shared" si="159"/>
        <v>-</v>
      </c>
      <c r="AO458" s="75" t="str">
        <f t="shared" si="160"/>
        <v>-</v>
      </c>
      <c r="AP458" s="48">
        <f t="shared" si="163"/>
        <v>0</v>
      </c>
      <c r="AQ458" s="48">
        <f t="shared" si="161"/>
        <v>0</v>
      </c>
      <c r="AR458" s="49" t="e">
        <f t="shared" si="162"/>
        <v>#N/A</v>
      </c>
    </row>
    <row r="459" spans="1:44" ht="15">
      <c r="A459" s="38"/>
      <c r="B459" s="38"/>
      <c r="C459" s="38"/>
      <c r="D459" s="38"/>
      <c r="E459" s="38"/>
      <c r="F459" s="38"/>
      <c r="G459" s="47">
        <f t="shared" si="144"/>
        <v>6.5978850116714893E-2</v>
      </c>
      <c r="H459" s="44"/>
      <c r="I459" s="44"/>
      <c r="J459" s="45">
        <f t="shared" si="164"/>
        <v>0</v>
      </c>
      <c r="K459" s="38"/>
      <c r="L459" s="38"/>
      <c r="M459" s="38"/>
      <c r="N459" s="34" t="e">
        <f>VLOOKUP(F459,'GHG Emissions Factors'!$B$2:$C$4000,2,FALSE)</f>
        <v>#N/A</v>
      </c>
      <c r="O459" s="45" t="e">
        <f t="shared" si="145"/>
        <v>#N/A</v>
      </c>
      <c r="P459" s="34">
        <f>IF(L459="yes", 0, _xlfn.XLOOKUP(F459, 'GHG Emissions Factors'!$B$2:$B$4000, 'GHG Emissions Factors'!$D$2:$D$4000, 0))</f>
        <v>0</v>
      </c>
      <c r="Q459" s="46"/>
      <c r="R459" s="46"/>
      <c r="S459" s="46">
        <f>ProcurementAllocationData[[#This Row],[Net MWhs Procured]]-(ProcurementAllocationData[[#This Row],[Deep Green]]+ProcurementAllocationData[[#This Row],[LocalSol]]+ProcurementAllocationData[[#This Row],[GreenAccess]])</f>
        <v>0</v>
      </c>
      <c r="T459" s="46"/>
      <c r="U459" s="46"/>
      <c r="V459" s="46"/>
      <c r="W459" s="46"/>
      <c r="X459" s="46"/>
      <c r="Y459" s="112">
        <f t="shared" si="146"/>
        <v>0</v>
      </c>
      <c r="Z459" s="150">
        <f t="shared" si="147"/>
        <v>0</v>
      </c>
      <c r="AA459" s="150">
        <f t="shared" si="148"/>
        <v>0</v>
      </c>
      <c r="AB459" s="113">
        <f t="shared" si="149"/>
        <v>0</v>
      </c>
      <c r="AC459" s="36"/>
      <c r="AD459" s="272" t="str">
        <f t="shared" si="150"/>
        <v/>
      </c>
      <c r="AE459" s="273">
        <f t="shared" si="151"/>
        <v>0</v>
      </c>
      <c r="AF459" s="273">
        <f t="shared" si="152"/>
        <v>0</v>
      </c>
      <c r="AG459" s="273">
        <f t="shared" si="153"/>
        <v>0</v>
      </c>
      <c r="AH459" s="273">
        <f t="shared" si="154"/>
        <v>0</v>
      </c>
      <c r="AI459" s="273">
        <f t="shared" si="155"/>
        <v>0</v>
      </c>
      <c r="AJ459" s="273">
        <f t="shared" si="156"/>
        <v>0</v>
      </c>
      <c r="AK459" s="273">
        <f t="shared" si="157"/>
        <v>0</v>
      </c>
      <c r="AL459" s="274">
        <f t="shared" si="158"/>
        <v>0</v>
      </c>
      <c r="AN459" s="75" t="str">
        <f t="shared" si="159"/>
        <v>-</v>
      </c>
      <c r="AO459" s="75" t="str">
        <f t="shared" si="160"/>
        <v>-</v>
      </c>
      <c r="AP459" s="48">
        <f t="shared" si="163"/>
        <v>0</v>
      </c>
      <c r="AQ459" s="48">
        <f t="shared" si="161"/>
        <v>0</v>
      </c>
      <c r="AR459" s="49" t="e">
        <f t="shared" si="162"/>
        <v>#N/A</v>
      </c>
    </row>
    <row r="460" spans="1:44" ht="15">
      <c r="A460" s="38"/>
      <c r="B460" s="38"/>
      <c r="C460" s="38"/>
      <c r="D460" s="38"/>
      <c r="E460" s="38"/>
      <c r="F460" s="38"/>
      <c r="G460" s="47">
        <f t="shared" si="144"/>
        <v>6.5978850116714893E-2</v>
      </c>
      <c r="H460" s="44"/>
      <c r="I460" s="44"/>
      <c r="J460" s="45">
        <f t="shared" si="164"/>
        <v>0</v>
      </c>
      <c r="K460" s="38"/>
      <c r="L460" s="38"/>
      <c r="M460" s="38"/>
      <c r="N460" s="34" t="e">
        <f>VLOOKUP(F460,'GHG Emissions Factors'!$B$2:$C$4000,2,FALSE)</f>
        <v>#N/A</v>
      </c>
      <c r="O460" s="45" t="e">
        <f t="shared" si="145"/>
        <v>#N/A</v>
      </c>
      <c r="P460" s="34">
        <f>IF(L460="yes", 0, _xlfn.XLOOKUP(F460, 'GHG Emissions Factors'!$B$2:$B$4000, 'GHG Emissions Factors'!$D$2:$D$4000, 0))</f>
        <v>0</v>
      </c>
      <c r="Q460" s="46"/>
      <c r="R460" s="46"/>
      <c r="S460" s="46">
        <f>ProcurementAllocationData[[#This Row],[Net MWhs Procured]]-(ProcurementAllocationData[[#This Row],[Deep Green]]+ProcurementAllocationData[[#This Row],[LocalSol]]+ProcurementAllocationData[[#This Row],[GreenAccess]])</f>
        <v>0</v>
      </c>
      <c r="T460" s="46"/>
      <c r="U460" s="46"/>
      <c r="V460" s="46"/>
      <c r="W460" s="46"/>
      <c r="X460" s="46"/>
      <c r="Y460" s="112">
        <f t="shared" si="146"/>
        <v>0</v>
      </c>
      <c r="Z460" s="150">
        <f t="shared" si="147"/>
        <v>0</v>
      </c>
      <c r="AA460" s="150">
        <f t="shared" si="148"/>
        <v>0</v>
      </c>
      <c r="AB460" s="113">
        <f t="shared" si="149"/>
        <v>0</v>
      </c>
      <c r="AC460" s="36"/>
      <c r="AD460" s="272" t="str">
        <f t="shared" si="150"/>
        <v/>
      </c>
      <c r="AE460" s="273">
        <f t="shared" si="151"/>
        <v>0</v>
      </c>
      <c r="AF460" s="273">
        <f t="shared" si="152"/>
        <v>0</v>
      </c>
      <c r="AG460" s="273">
        <f t="shared" si="153"/>
        <v>0</v>
      </c>
      <c r="AH460" s="273">
        <f t="shared" si="154"/>
        <v>0</v>
      </c>
      <c r="AI460" s="273">
        <f t="shared" si="155"/>
        <v>0</v>
      </c>
      <c r="AJ460" s="273">
        <f t="shared" si="156"/>
        <v>0</v>
      </c>
      <c r="AK460" s="273">
        <f t="shared" si="157"/>
        <v>0</v>
      </c>
      <c r="AL460" s="274">
        <f t="shared" si="158"/>
        <v>0</v>
      </c>
      <c r="AN460" s="75" t="str">
        <f t="shared" si="159"/>
        <v>-</v>
      </c>
      <c r="AO460" s="75" t="str">
        <f t="shared" si="160"/>
        <v>-</v>
      </c>
      <c r="AP460" s="48">
        <f t="shared" si="163"/>
        <v>0</v>
      </c>
      <c r="AQ460" s="48">
        <f t="shared" si="161"/>
        <v>0</v>
      </c>
      <c r="AR460" s="49" t="e">
        <f t="shared" si="162"/>
        <v>#N/A</v>
      </c>
    </row>
    <row r="461" spans="1:44" ht="15">
      <c r="A461" s="38"/>
      <c r="B461" s="38"/>
      <c r="C461" s="38"/>
      <c r="D461" s="38"/>
      <c r="E461" s="38"/>
      <c r="F461" s="38"/>
      <c r="G461" s="47">
        <f t="shared" si="144"/>
        <v>6.5978850116714893E-2</v>
      </c>
      <c r="H461" s="44"/>
      <c r="I461" s="44"/>
      <c r="J461" s="45">
        <f t="shared" si="164"/>
        <v>0</v>
      </c>
      <c r="K461" s="38"/>
      <c r="L461" s="38"/>
      <c r="M461" s="38"/>
      <c r="N461" s="34" t="e">
        <f>VLOOKUP(F461,'GHG Emissions Factors'!$B$2:$C$4000,2,FALSE)</f>
        <v>#N/A</v>
      </c>
      <c r="O461" s="45" t="e">
        <f t="shared" si="145"/>
        <v>#N/A</v>
      </c>
      <c r="P461" s="34">
        <f>IF(L461="yes", 0, _xlfn.XLOOKUP(F461, 'GHG Emissions Factors'!$B$2:$B$4000, 'GHG Emissions Factors'!$D$2:$D$4000, 0))</f>
        <v>0</v>
      </c>
      <c r="Q461" s="46"/>
      <c r="R461" s="46"/>
      <c r="S461" s="46">
        <f>ProcurementAllocationData[[#This Row],[Net MWhs Procured]]-(ProcurementAllocationData[[#This Row],[Deep Green]]+ProcurementAllocationData[[#This Row],[LocalSol]]+ProcurementAllocationData[[#This Row],[GreenAccess]])</f>
        <v>0</v>
      </c>
      <c r="T461" s="46"/>
      <c r="U461" s="46"/>
      <c r="V461" s="46"/>
      <c r="W461" s="46"/>
      <c r="X461" s="46"/>
      <c r="Y461" s="112">
        <f t="shared" si="146"/>
        <v>0</v>
      </c>
      <c r="Z461" s="150">
        <f t="shared" si="147"/>
        <v>0</v>
      </c>
      <c r="AA461" s="150">
        <f t="shared" si="148"/>
        <v>0</v>
      </c>
      <c r="AB461" s="113">
        <f t="shared" si="149"/>
        <v>0</v>
      </c>
      <c r="AC461" s="36"/>
      <c r="AD461" s="272" t="str">
        <f t="shared" si="150"/>
        <v/>
      </c>
      <c r="AE461" s="273">
        <f t="shared" si="151"/>
        <v>0</v>
      </c>
      <c r="AF461" s="273">
        <f t="shared" si="152"/>
        <v>0</v>
      </c>
      <c r="AG461" s="273">
        <f t="shared" si="153"/>
        <v>0</v>
      </c>
      <c r="AH461" s="273">
        <f t="shared" si="154"/>
        <v>0</v>
      </c>
      <c r="AI461" s="273">
        <f t="shared" si="155"/>
        <v>0</v>
      </c>
      <c r="AJ461" s="273">
        <f t="shared" si="156"/>
        <v>0</v>
      </c>
      <c r="AK461" s="273">
        <f t="shared" si="157"/>
        <v>0</v>
      </c>
      <c r="AL461" s="274">
        <f t="shared" si="158"/>
        <v>0</v>
      </c>
      <c r="AN461" s="75" t="str">
        <f t="shared" si="159"/>
        <v>-</v>
      </c>
      <c r="AO461" s="75" t="str">
        <f t="shared" si="160"/>
        <v>-</v>
      </c>
      <c r="AP461" s="48">
        <f t="shared" si="163"/>
        <v>0</v>
      </c>
      <c r="AQ461" s="48">
        <f t="shared" si="161"/>
        <v>0</v>
      </c>
      <c r="AR461" s="49" t="e">
        <f t="shared" si="162"/>
        <v>#N/A</v>
      </c>
    </row>
    <row r="462" spans="1:44" ht="15">
      <c r="A462" s="38"/>
      <c r="B462" s="38"/>
      <c r="C462" s="38"/>
      <c r="D462" s="38"/>
      <c r="E462" s="38"/>
      <c r="F462" s="38"/>
      <c r="G462" s="47">
        <f t="shared" si="144"/>
        <v>6.5978850116714893E-2</v>
      </c>
      <c r="H462" s="44"/>
      <c r="I462" s="44"/>
      <c r="J462" s="45">
        <f t="shared" si="164"/>
        <v>0</v>
      </c>
      <c r="K462" s="38"/>
      <c r="L462" s="38"/>
      <c r="M462" s="38"/>
      <c r="N462" s="34" t="e">
        <f>VLOOKUP(F462,'GHG Emissions Factors'!$B$2:$C$4000,2,FALSE)</f>
        <v>#N/A</v>
      </c>
      <c r="O462" s="45" t="e">
        <f t="shared" si="145"/>
        <v>#N/A</v>
      </c>
      <c r="P462" s="34">
        <f>IF(L462="yes", 0, _xlfn.XLOOKUP(F462, 'GHG Emissions Factors'!$B$2:$B$4000, 'GHG Emissions Factors'!$D$2:$D$4000, 0))</f>
        <v>0</v>
      </c>
      <c r="Q462" s="46"/>
      <c r="R462" s="46"/>
      <c r="S462" s="46">
        <f>ProcurementAllocationData[[#This Row],[Net MWhs Procured]]-(ProcurementAllocationData[[#This Row],[Deep Green]]+ProcurementAllocationData[[#This Row],[LocalSol]]+ProcurementAllocationData[[#This Row],[GreenAccess]])</f>
        <v>0</v>
      </c>
      <c r="T462" s="46"/>
      <c r="U462" s="46"/>
      <c r="V462" s="46"/>
      <c r="W462" s="46"/>
      <c r="X462" s="46"/>
      <c r="Y462" s="112">
        <f t="shared" si="146"/>
        <v>0</v>
      </c>
      <c r="Z462" s="150">
        <f t="shared" si="147"/>
        <v>0</v>
      </c>
      <c r="AA462" s="150">
        <f t="shared" si="148"/>
        <v>0</v>
      </c>
      <c r="AB462" s="113">
        <f t="shared" si="149"/>
        <v>0</v>
      </c>
      <c r="AC462" s="36"/>
      <c r="AD462" s="272" t="str">
        <f t="shared" si="150"/>
        <v/>
      </c>
      <c r="AE462" s="273">
        <f t="shared" si="151"/>
        <v>0</v>
      </c>
      <c r="AF462" s="273">
        <f t="shared" si="152"/>
        <v>0</v>
      </c>
      <c r="AG462" s="273">
        <f t="shared" si="153"/>
        <v>0</v>
      </c>
      <c r="AH462" s="273">
        <f t="shared" si="154"/>
        <v>0</v>
      </c>
      <c r="AI462" s="273">
        <f t="shared" si="155"/>
        <v>0</v>
      </c>
      <c r="AJ462" s="273">
        <f t="shared" si="156"/>
        <v>0</v>
      </c>
      <c r="AK462" s="273">
        <f t="shared" si="157"/>
        <v>0</v>
      </c>
      <c r="AL462" s="274">
        <f t="shared" si="158"/>
        <v>0</v>
      </c>
      <c r="AN462" s="75" t="str">
        <f t="shared" si="159"/>
        <v>-</v>
      </c>
      <c r="AO462" s="75" t="str">
        <f t="shared" si="160"/>
        <v>-</v>
      </c>
      <c r="AP462" s="48">
        <f t="shared" si="163"/>
        <v>0</v>
      </c>
      <c r="AQ462" s="48">
        <f t="shared" si="161"/>
        <v>0</v>
      </c>
      <c r="AR462" s="49" t="e">
        <f t="shared" si="162"/>
        <v>#N/A</v>
      </c>
    </row>
    <row r="463" spans="1:44" ht="15">
      <c r="A463" s="38"/>
      <c r="B463" s="38"/>
      <c r="C463" s="38"/>
      <c r="D463" s="38"/>
      <c r="E463" s="38"/>
      <c r="F463" s="38"/>
      <c r="G463" s="47">
        <f t="shared" si="144"/>
        <v>6.5978850116714893E-2</v>
      </c>
      <c r="H463" s="44"/>
      <c r="I463" s="44"/>
      <c r="J463" s="45">
        <f t="shared" si="164"/>
        <v>0</v>
      </c>
      <c r="K463" s="38"/>
      <c r="L463" s="38"/>
      <c r="M463" s="38"/>
      <c r="N463" s="34" t="e">
        <f>VLOOKUP(F463,'GHG Emissions Factors'!$B$2:$C$4000,2,FALSE)</f>
        <v>#N/A</v>
      </c>
      <c r="O463" s="45" t="e">
        <f t="shared" si="145"/>
        <v>#N/A</v>
      </c>
      <c r="P463" s="34">
        <f>IF(L463="yes", 0, _xlfn.XLOOKUP(F463, 'GHG Emissions Factors'!$B$2:$B$4000, 'GHG Emissions Factors'!$D$2:$D$4000, 0))</f>
        <v>0</v>
      </c>
      <c r="Q463" s="46"/>
      <c r="R463" s="46"/>
      <c r="S463" s="46">
        <f>ProcurementAllocationData[[#This Row],[Net MWhs Procured]]-(ProcurementAllocationData[[#This Row],[Deep Green]]+ProcurementAllocationData[[#This Row],[LocalSol]]+ProcurementAllocationData[[#This Row],[GreenAccess]])</f>
        <v>0</v>
      </c>
      <c r="T463" s="46"/>
      <c r="U463" s="46"/>
      <c r="V463" s="46"/>
      <c r="W463" s="46"/>
      <c r="X463" s="46"/>
      <c r="Y463" s="112">
        <f t="shared" si="146"/>
        <v>0</v>
      </c>
      <c r="Z463" s="150">
        <f t="shared" si="147"/>
        <v>0</v>
      </c>
      <c r="AA463" s="150">
        <f t="shared" si="148"/>
        <v>0</v>
      </c>
      <c r="AB463" s="113">
        <f t="shared" si="149"/>
        <v>0</v>
      </c>
      <c r="AC463" s="36"/>
      <c r="AD463" s="272" t="str">
        <f t="shared" si="150"/>
        <v/>
      </c>
      <c r="AE463" s="273">
        <f t="shared" si="151"/>
        <v>0</v>
      </c>
      <c r="AF463" s="273">
        <f t="shared" si="152"/>
        <v>0</v>
      </c>
      <c r="AG463" s="273">
        <f t="shared" si="153"/>
        <v>0</v>
      </c>
      <c r="AH463" s="273">
        <f t="shared" si="154"/>
        <v>0</v>
      </c>
      <c r="AI463" s="273">
        <f t="shared" si="155"/>
        <v>0</v>
      </c>
      <c r="AJ463" s="273">
        <f t="shared" si="156"/>
        <v>0</v>
      </c>
      <c r="AK463" s="273">
        <f t="shared" si="157"/>
        <v>0</v>
      </c>
      <c r="AL463" s="274">
        <f t="shared" si="158"/>
        <v>0</v>
      </c>
      <c r="AN463" s="75" t="str">
        <f t="shared" si="159"/>
        <v>-</v>
      </c>
      <c r="AO463" s="75" t="str">
        <f t="shared" si="160"/>
        <v>-</v>
      </c>
      <c r="AP463" s="48">
        <f t="shared" si="163"/>
        <v>0</v>
      </c>
      <c r="AQ463" s="48">
        <f t="shared" si="161"/>
        <v>0</v>
      </c>
      <c r="AR463" s="49" t="e">
        <f t="shared" si="162"/>
        <v>#N/A</v>
      </c>
    </row>
    <row r="464" spans="1:44" ht="15">
      <c r="A464" s="38"/>
      <c r="B464" s="38"/>
      <c r="C464" s="38"/>
      <c r="D464" s="38"/>
      <c r="E464" s="38"/>
      <c r="F464" s="38"/>
      <c r="G464" s="47">
        <f t="shared" si="144"/>
        <v>6.5978850116714893E-2</v>
      </c>
      <c r="H464" s="44"/>
      <c r="I464" s="44"/>
      <c r="J464" s="45">
        <f t="shared" si="164"/>
        <v>0</v>
      </c>
      <c r="K464" s="38"/>
      <c r="L464" s="38"/>
      <c r="M464" s="38"/>
      <c r="N464" s="34" t="e">
        <f>VLOOKUP(F464,'GHG Emissions Factors'!$B$2:$C$4000,2,FALSE)</f>
        <v>#N/A</v>
      </c>
      <c r="O464" s="45" t="e">
        <f t="shared" si="145"/>
        <v>#N/A</v>
      </c>
      <c r="P464" s="34">
        <f>IF(L464="yes", 0, _xlfn.XLOOKUP(F464, 'GHG Emissions Factors'!$B$2:$B$4000, 'GHG Emissions Factors'!$D$2:$D$4000, 0))</f>
        <v>0</v>
      </c>
      <c r="Q464" s="46"/>
      <c r="R464" s="46"/>
      <c r="S464" s="46">
        <f>ProcurementAllocationData[[#This Row],[Net MWhs Procured]]-(ProcurementAllocationData[[#This Row],[Deep Green]]+ProcurementAllocationData[[#This Row],[LocalSol]]+ProcurementAllocationData[[#This Row],[GreenAccess]])</f>
        <v>0</v>
      </c>
      <c r="T464" s="46"/>
      <c r="U464" s="46"/>
      <c r="V464" s="46"/>
      <c r="W464" s="46"/>
      <c r="X464" s="46"/>
      <c r="Y464" s="112">
        <f t="shared" si="146"/>
        <v>0</v>
      </c>
      <c r="Z464" s="150">
        <f t="shared" si="147"/>
        <v>0</v>
      </c>
      <c r="AA464" s="150">
        <f t="shared" si="148"/>
        <v>0</v>
      </c>
      <c r="AB464" s="113">
        <f t="shared" si="149"/>
        <v>0</v>
      </c>
      <c r="AC464" s="36"/>
      <c r="AD464" s="272" t="str">
        <f t="shared" si="150"/>
        <v/>
      </c>
      <c r="AE464" s="273">
        <f t="shared" si="151"/>
        <v>0</v>
      </c>
      <c r="AF464" s="273">
        <f t="shared" si="152"/>
        <v>0</v>
      </c>
      <c r="AG464" s="273">
        <f t="shared" si="153"/>
        <v>0</v>
      </c>
      <c r="AH464" s="273">
        <f t="shared" si="154"/>
        <v>0</v>
      </c>
      <c r="AI464" s="273">
        <f t="shared" si="155"/>
        <v>0</v>
      </c>
      <c r="AJ464" s="273">
        <f t="shared" si="156"/>
        <v>0</v>
      </c>
      <c r="AK464" s="273">
        <f t="shared" si="157"/>
        <v>0</v>
      </c>
      <c r="AL464" s="274">
        <f t="shared" si="158"/>
        <v>0</v>
      </c>
      <c r="AN464" s="75" t="str">
        <f t="shared" si="159"/>
        <v>-</v>
      </c>
      <c r="AO464" s="75" t="str">
        <f t="shared" si="160"/>
        <v>-</v>
      </c>
      <c r="AP464" s="48">
        <f t="shared" si="163"/>
        <v>0</v>
      </c>
      <c r="AQ464" s="48">
        <f t="shared" si="161"/>
        <v>0</v>
      </c>
      <c r="AR464" s="49" t="e">
        <f t="shared" si="162"/>
        <v>#N/A</v>
      </c>
    </row>
    <row r="465" spans="1:44" ht="15">
      <c r="A465" s="38"/>
      <c r="B465" s="38"/>
      <c r="C465" s="38"/>
      <c r="D465" s="38"/>
      <c r="E465" s="38"/>
      <c r="F465" s="38"/>
      <c r="G465" s="47">
        <f t="shared" si="144"/>
        <v>6.5978850116714893E-2</v>
      </c>
      <c r="H465" s="44"/>
      <c r="I465" s="44"/>
      <c r="J465" s="45">
        <f t="shared" si="164"/>
        <v>0</v>
      </c>
      <c r="K465" s="38"/>
      <c r="L465" s="38"/>
      <c r="M465" s="38"/>
      <c r="N465" s="34" t="e">
        <f>VLOOKUP(F465,'GHG Emissions Factors'!$B$2:$C$4000,2,FALSE)</f>
        <v>#N/A</v>
      </c>
      <c r="O465" s="45" t="e">
        <f t="shared" si="145"/>
        <v>#N/A</v>
      </c>
      <c r="P465" s="34">
        <f>IF(L465="yes", 0, _xlfn.XLOOKUP(F465, 'GHG Emissions Factors'!$B$2:$B$4000, 'GHG Emissions Factors'!$D$2:$D$4000, 0))</f>
        <v>0</v>
      </c>
      <c r="Q465" s="46"/>
      <c r="R465" s="46"/>
      <c r="S465" s="46">
        <f>ProcurementAllocationData[[#This Row],[Net MWhs Procured]]-(ProcurementAllocationData[[#This Row],[Deep Green]]+ProcurementAllocationData[[#This Row],[LocalSol]]+ProcurementAllocationData[[#This Row],[GreenAccess]])</f>
        <v>0</v>
      </c>
      <c r="T465" s="46"/>
      <c r="U465" s="46"/>
      <c r="V465" s="46"/>
      <c r="W465" s="46"/>
      <c r="X465" s="46"/>
      <c r="Y465" s="112">
        <f t="shared" si="146"/>
        <v>0</v>
      </c>
      <c r="Z465" s="150">
        <f t="shared" si="147"/>
        <v>0</v>
      </c>
      <c r="AA465" s="150">
        <f t="shared" si="148"/>
        <v>0</v>
      </c>
      <c r="AB465" s="113">
        <f t="shared" si="149"/>
        <v>0</v>
      </c>
      <c r="AC465" s="36"/>
      <c r="AD465" s="272" t="str">
        <f t="shared" si="150"/>
        <v/>
      </c>
      <c r="AE465" s="273">
        <f t="shared" si="151"/>
        <v>0</v>
      </c>
      <c r="AF465" s="273">
        <f t="shared" si="152"/>
        <v>0</v>
      </c>
      <c r="AG465" s="273">
        <f t="shared" si="153"/>
        <v>0</v>
      </c>
      <c r="AH465" s="273">
        <f t="shared" si="154"/>
        <v>0</v>
      </c>
      <c r="AI465" s="273">
        <f t="shared" si="155"/>
        <v>0</v>
      </c>
      <c r="AJ465" s="273">
        <f t="shared" si="156"/>
        <v>0</v>
      </c>
      <c r="AK465" s="273">
        <f t="shared" si="157"/>
        <v>0</v>
      </c>
      <c r="AL465" s="274">
        <f t="shared" si="158"/>
        <v>0</v>
      </c>
      <c r="AN465" s="75" t="str">
        <f t="shared" si="159"/>
        <v>-</v>
      </c>
      <c r="AO465" s="75" t="str">
        <f t="shared" si="160"/>
        <v>-</v>
      </c>
      <c r="AP465" s="48">
        <f t="shared" si="163"/>
        <v>0</v>
      </c>
      <c r="AQ465" s="48">
        <f t="shared" si="161"/>
        <v>0</v>
      </c>
      <c r="AR465" s="49" t="e">
        <f t="shared" si="162"/>
        <v>#N/A</v>
      </c>
    </row>
    <row r="466" spans="1:44" ht="15">
      <c r="A466" s="38"/>
      <c r="B466" s="38"/>
      <c r="C466" s="38"/>
      <c r="D466" s="38"/>
      <c r="E466" s="38"/>
      <c r="F466" s="38"/>
      <c r="G466" s="47">
        <f t="shared" si="144"/>
        <v>6.5978850116714893E-2</v>
      </c>
      <c r="H466" s="44"/>
      <c r="I466" s="44"/>
      <c r="J466" s="45">
        <f t="shared" si="164"/>
        <v>0</v>
      </c>
      <c r="K466" s="38"/>
      <c r="L466" s="38"/>
      <c r="M466" s="38"/>
      <c r="N466" s="34" t="e">
        <f>VLOOKUP(F466,'GHG Emissions Factors'!$B$2:$C$4000,2,FALSE)</f>
        <v>#N/A</v>
      </c>
      <c r="O466" s="45" t="e">
        <f t="shared" si="145"/>
        <v>#N/A</v>
      </c>
      <c r="P466" s="34">
        <f>IF(L466="yes", 0, _xlfn.XLOOKUP(F466, 'GHG Emissions Factors'!$B$2:$B$4000, 'GHG Emissions Factors'!$D$2:$D$4000, 0))</f>
        <v>0</v>
      </c>
      <c r="Q466" s="46"/>
      <c r="R466" s="46"/>
      <c r="S466" s="46">
        <f>ProcurementAllocationData[[#This Row],[Net MWhs Procured]]-(ProcurementAllocationData[[#This Row],[Deep Green]]+ProcurementAllocationData[[#This Row],[LocalSol]]+ProcurementAllocationData[[#This Row],[GreenAccess]])</f>
        <v>0</v>
      </c>
      <c r="T466" s="46"/>
      <c r="U466" s="46"/>
      <c r="V466" s="46"/>
      <c r="W466" s="46"/>
      <c r="X466" s="46"/>
      <c r="Y466" s="112">
        <f t="shared" si="146"/>
        <v>0</v>
      </c>
      <c r="Z466" s="150">
        <f t="shared" si="147"/>
        <v>0</v>
      </c>
      <c r="AA466" s="150">
        <f t="shared" si="148"/>
        <v>0</v>
      </c>
      <c r="AB466" s="113">
        <f t="shared" si="149"/>
        <v>0</v>
      </c>
      <c r="AC466" s="36"/>
      <c r="AD466" s="272" t="str">
        <f t="shared" si="150"/>
        <v/>
      </c>
      <c r="AE466" s="273">
        <f t="shared" si="151"/>
        <v>0</v>
      </c>
      <c r="AF466" s="273">
        <f t="shared" si="152"/>
        <v>0</v>
      </c>
      <c r="AG466" s="273">
        <f t="shared" si="153"/>
        <v>0</v>
      </c>
      <c r="AH466" s="273">
        <f t="shared" si="154"/>
        <v>0</v>
      </c>
      <c r="AI466" s="273">
        <f t="shared" si="155"/>
        <v>0</v>
      </c>
      <c r="AJ466" s="273">
        <f t="shared" si="156"/>
        <v>0</v>
      </c>
      <c r="AK466" s="273">
        <f t="shared" si="157"/>
        <v>0</v>
      </c>
      <c r="AL466" s="274">
        <f t="shared" si="158"/>
        <v>0</v>
      </c>
      <c r="AN466" s="75" t="str">
        <f t="shared" si="159"/>
        <v>-</v>
      </c>
      <c r="AO466" s="75" t="str">
        <f t="shared" si="160"/>
        <v>-</v>
      </c>
      <c r="AP466" s="48">
        <f t="shared" si="163"/>
        <v>0</v>
      </c>
      <c r="AQ466" s="48">
        <f t="shared" si="161"/>
        <v>0</v>
      </c>
      <c r="AR466" s="49" t="e">
        <f t="shared" si="162"/>
        <v>#N/A</v>
      </c>
    </row>
    <row r="467" spans="1:44" ht="15">
      <c r="A467" s="38"/>
      <c r="B467" s="38"/>
      <c r="C467" s="38"/>
      <c r="D467" s="38"/>
      <c r="E467" s="38"/>
      <c r="F467" s="38"/>
      <c r="G467" s="47">
        <f t="shared" si="144"/>
        <v>6.5978850116714893E-2</v>
      </c>
      <c r="H467" s="44"/>
      <c r="I467" s="44"/>
      <c r="J467" s="45">
        <f t="shared" si="164"/>
        <v>0</v>
      </c>
      <c r="K467" s="38"/>
      <c r="L467" s="38"/>
      <c r="M467" s="38"/>
      <c r="N467" s="34" t="e">
        <f>VLOOKUP(F467,'GHG Emissions Factors'!$B$2:$C$4000,2,FALSE)</f>
        <v>#N/A</v>
      </c>
      <c r="O467" s="45" t="e">
        <f t="shared" si="145"/>
        <v>#N/A</v>
      </c>
      <c r="P467" s="34">
        <f>IF(L467="yes", 0, _xlfn.XLOOKUP(F467, 'GHG Emissions Factors'!$B$2:$B$4000, 'GHG Emissions Factors'!$D$2:$D$4000, 0))</f>
        <v>0</v>
      </c>
      <c r="Q467" s="46"/>
      <c r="R467" s="46"/>
      <c r="S467" s="46">
        <f>ProcurementAllocationData[[#This Row],[Net MWhs Procured]]-(ProcurementAllocationData[[#This Row],[Deep Green]]+ProcurementAllocationData[[#This Row],[LocalSol]]+ProcurementAllocationData[[#This Row],[GreenAccess]])</f>
        <v>0</v>
      </c>
      <c r="T467" s="46"/>
      <c r="U467" s="46"/>
      <c r="V467" s="46"/>
      <c r="W467" s="46"/>
      <c r="X467" s="46"/>
      <c r="Y467" s="112">
        <f t="shared" si="146"/>
        <v>0</v>
      </c>
      <c r="Z467" s="150">
        <f t="shared" si="147"/>
        <v>0</v>
      </c>
      <c r="AA467" s="150">
        <f t="shared" si="148"/>
        <v>0</v>
      </c>
      <c r="AB467" s="113">
        <f t="shared" si="149"/>
        <v>0</v>
      </c>
      <c r="AC467" s="36"/>
      <c r="AD467" s="272" t="str">
        <f t="shared" si="150"/>
        <v/>
      </c>
      <c r="AE467" s="273">
        <f t="shared" si="151"/>
        <v>0</v>
      </c>
      <c r="AF467" s="273">
        <f t="shared" si="152"/>
        <v>0</v>
      </c>
      <c r="AG467" s="273">
        <f t="shared" si="153"/>
        <v>0</v>
      </c>
      <c r="AH467" s="273">
        <f t="shared" si="154"/>
        <v>0</v>
      </c>
      <c r="AI467" s="273">
        <f t="shared" si="155"/>
        <v>0</v>
      </c>
      <c r="AJ467" s="273">
        <f t="shared" si="156"/>
        <v>0</v>
      </c>
      <c r="AK467" s="273">
        <f t="shared" si="157"/>
        <v>0</v>
      </c>
      <c r="AL467" s="274">
        <f t="shared" si="158"/>
        <v>0</v>
      </c>
      <c r="AN467" s="75" t="str">
        <f t="shared" si="159"/>
        <v>-</v>
      </c>
      <c r="AO467" s="75" t="str">
        <f t="shared" si="160"/>
        <v>-</v>
      </c>
      <c r="AP467" s="48">
        <f t="shared" si="163"/>
        <v>0</v>
      </c>
      <c r="AQ467" s="48">
        <f t="shared" si="161"/>
        <v>0</v>
      </c>
      <c r="AR467" s="49" t="e">
        <f t="shared" si="162"/>
        <v>#N/A</v>
      </c>
    </row>
    <row r="468" spans="1:44" ht="15">
      <c r="A468" s="38"/>
      <c r="B468" s="38"/>
      <c r="C468" s="38"/>
      <c r="D468" s="38"/>
      <c r="E468" s="38"/>
      <c r="F468" s="38"/>
      <c r="G468" s="47">
        <f t="shared" si="144"/>
        <v>6.5978850116714893E-2</v>
      </c>
      <c r="H468" s="44"/>
      <c r="I468" s="44"/>
      <c r="J468" s="45">
        <f t="shared" si="164"/>
        <v>0</v>
      </c>
      <c r="K468" s="38"/>
      <c r="L468" s="38"/>
      <c r="M468" s="38"/>
      <c r="N468" s="34" t="e">
        <f>VLOOKUP(F468,'GHG Emissions Factors'!$B$2:$C$4000,2,FALSE)</f>
        <v>#N/A</v>
      </c>
      <c r="O468" s="45" t="e">
        <f t="shared" si="145"/>
        <v>#N/A</v>
      </c>
      <c r="P468" s="34">
        <f>IF(L468="yes", 0, _xlfn.XLOOKUP(F468, 'GHG Emissions Factors'!$B$2:$B$4000, 'GHG Emissions Factors'!$D$2:$D$4000, 0))</f>
        <v>0</v>
      </c>
      <c r="Q468" s="46"/>
      <c r="R468" s="46"/>
      <c r="S468" s="46">
        <f>ProcurementAllocationData[[#This Row],[Net MWhs Procured]]-(ProcurementAllocationData[[#This Row],[Deep Green]]+ProcurementAllocationData[[#This Row],[LocalSol]]+ProcurementAllocationData[[#This Row],[GreenAccess]])</f>
        <v>0</v>
      </c>
      <c r="T468" s="46"/>
      <c r="U468" s="46"/>
      <c r="V468" s="46"/>
      <c r="W468" s="46"/>
      <c r="X468" s="46"/>
      <c r="Y468" s="112">
        <f t="shared" si="146"/>
        <v>0</v>
      </c>
      <c r="Z468" s="150">
        <f t="shared" si="147"/>
        <v>0</v>
      </c>
      <c r="AA468" s="150">
        <f t="shared" si="148"/>
        <v>0</v>
      </c>
      <c r="AB468" s="113">
        <f t="shared" si="149"/>
        <v>0</v>
      </c>
      <c r="AC468" s="36"/>
      <c r="AD468" s="272" t="str">
        <f t="shared" si="150"/>
        <v/>
      </c>
      <c r="AE468" s="273">
        <f t="shared" si="151"/>
        <v>0</v>
      </c>
      <c r="AF468" s="273">
        <f t="shared" si="152"/>
        <v>0</v>
      </c>
      <c r="AG468" s="273">
        <f t="shared" si="153"/>
        <v>0</v>
      </c>
      <c r="AH468" s="273">
        <f t="shared" si="154"/>
        <v>0</v>
      </c>
      <c r="AI468" s="273">
        <f t="shared" si="155"/>
        <v>0</v>
      </c>
      <c r="AJ468" s="273">
        <f t="shared" si="156"/>
        <v>0</v>
      </c>
      <c r="AK468" s="273">
        <f t="shared" si="157"/>
        <v>0</v>
      </c>
      <c r="AL468" s="274">
        <f t="shared" si="158"/>
        <v>0</v>
      </c>
      <c r="AN468" s="75" t="str">
        <f t="shared" si="159"/>
        <v>-</v>
      </c>
      <c r="AO468" s="75" t="str">
        <f t="shared" si="160"/>
        <v>-</v>
      </c>
      <c r="AP468" s="48">
        <f t="shared" si="163"/>
        <v>0</v>
      </c>
      <c r="AQ468" s="48">
        <f t="shared" si="161"/>
        <v>0</v>
      </c>
      <c r="AR468" s="49" t="e">
        <f t="shared" si="162"/>
        <v>#N/A</v>
      </c>
    </row>
    <row r="469" spans="1:44" ht="15">
      <c r="A469" s="38"/>
      <c r="B469" s="38"/>
      <c r="C469" s="38"/>
      <c r="D469" s="38"/>
      <c r="E469" s="38"/>
      <c r="F469" s="38"/>
      <c r="G469" s="47">
        <f t="shared" si="144"/>
        <v>6.5978850116714893E-2</v>
      </c>
      <c r="H469" s="44"/>
      <c r="I469" s="44"/>
      <c r="J469" s="45">
        <f t="shared" si="164"/>
        <v>0</v>
      </c>
      <c r="K469" s="38"/>
      <c r="L469" s="38"/>
      <c r="M469" s="38"/>
      <c r="N469" s="34" t="e">
        <f>VLOOKUP(F469,'GHG Emissions Factors'!$B$2:$C$4000,2,FALSE)</f>
        <v>#N/A</v>
      </c>
      <c r="O469" s="45" t="e">
        <f t="shared" si="145"/>
        <v>#N/A</v>
      </c>
      <c r="P469" s="34">
        <f>IF(L469="yes", 0, _xlfn.XLOOKUP(F469, 'GHG Emissions Factors'!$B$2:$B$4000, 'GHG Emissions Factors'!$D$2:$D$4000, 0))</f>
        <v>0</v>
      </c>
      <c r="Q469" s="46"/>
      <c r="R469" s="46"/>
      <c r="S469" s="46">
        <f>ProcurementAllocationData[[#This Row],[Net MWhs Procured]]-(ProcurementAllocationData[[#This Row],[Deep Green]]+ProcurementAllocationData[[#This Row],[LocalSol]]+ProcurementAllocationData[[#This Row],[GreenAccess]])</f>
        <v>0</v>
      </c>
      <c r="T469" s="46"/>
      <c r="U469" s="46"/>
      <c r="V469" s="46"/>
      <c r="W469" s="46"/>
      <c r="X469" s="46"/>
      <c r="Y469" s="112">
        <f t="shared" si="146"/>
        <v>0</v>
      </c>
      <c r="Z469" s="150">
        <f t="shared" si="147"/>
        <v>0</v>
      </c>
      <c r="AA469" s="150">
        <f t="shared" si="148"/>
        <v>0</v>
      </c>
      <c r="AB469" s="113">
        <f t="shared" si="149"/>
        <v>0</v>
      </c>
      <c r="AC469" s="36"/>
      <c r="AD469" s="272" t="str">
        <f t="shared" si="150"/>
        <v/>
      </c>
      <c r="AE469" s="273">
        <f t="shared" si="151"/>
        <v>0</v>
      </c>
      <c r="AF469" s="273">
        <f t="shared" si="152"/>
        <v>0</v>
      </c>
      <c r="AG469" s="273">
        <f t="shared" si="153"/>
        <v>0</v>
      </c>
      <c r="AH469" s="273">
        <f t="shared" si="154"/>
        <v>0</v>
      </c>
      <c r="AI469" s="273">
        <f t="shared" si="155"/>
        <v>0</v>
      </c>
      <c r="AJ469" s="273">
        <f t="shared" si="156"/>
        <v>0</v>
      </c>
      <c r="AK469" s="273">
        <f t="shared" si="157"/>
        <v>0</v>
      </c>
      <c r="AL469" s="274">
        <f t="shared" si="158"/>
        <v>0</v>
      </c>
      <c r="AN469" s="75" t="str">
        <f t="shared" si="159"/>
        <v>-</v>
      </c>
      <c r="AO469" s="75" t="str">
        <f t="shared" si="160"/>
        <v>-</v>
      </c>
      <c r="AP469" s="48">
        <f t="shared" si="163"/>
        <v>0</v>
      </c>
      <c r="AQ469" s="48">
        <f t="shared" si="161"/>
        <v>0</v>
      </c>
      <c r="AR469" s="49" t="e">
        <f t="shared" si="162"/>
        <v>#N/A</v>
      </c>
    </row>
    <row r="470" spans="1:44" ht="15">
      <c r="A470" s="38"/>
      <c r="B470" s="38"/>
      <c r="C470" s="38"/>
      <c r="D470" s="38"/>
      <c r="E470" s="38"/>
      <c r="F470" s="38"/>
      <c r="G470" s="47">
        <f t="shared" si="144"/>
        <v>6.5978850116714893E-2</v>
      </c>
      <c r="H470" s="44"/>
      <c r="I470" s="44"/>
      <c r="J470" s="45">
        <f t="shared" si="164"/>
        <v>0</v>
      </c>
      <c r="K470" s="38"/>
      <c r="L470" s="38"/>
      <c r="M470" s="38"/>
      <c r="N470" s="34" t="e">
        <f>VLOOKUP(F470,'GHG Emissions Factors'!$B$2:$C$4000,2,FALSE)</f>
        <v>#N/A</v>
      </c>
      <c r="O470" s="45" t="e">
        <f t="shared" si="145"/>
        <v>#N/A</v>
      </c>
      <c r="P470" s="34">
        <f>IF(L470="yes", 0, _xlfn.XLOOKUP(F470, 'GHG Emissions Factors'!$B$2:$B$4000, 'GHG Emissions Factors'!$D$2:$D$4000, 0))</f>
        <v>0</v>
      </c>
      <c r="Q470" s="46"/>
      <c r="R470" s="46"/>
      <c r="S470" s="46">
        <f>ProcurementAllocationData[[#This Row],[Net MWhs Procured]]-(ProcurementAllocationData[[#This Row],[Deep Green]]+ProcurementAllocationData[[#This Row],[LocalSol]]+ProcurementAllocationData[[#This Row],[GreenAccess]])</f>
        <v>0</v>
      </c>
      <c r="T470" s="46"/>
      <c r="U470" s="46"/>
      <c r="V470" s="46"/>
      <c r="W470" s="46"/>
      <c r="X470" s="46"/>
      <c r="Y470" s="112">
        <f t="shared" si="146"/>
        <v>0</v>
      </c>
      <c r="Z470" s="150">
        <f t="shared" si="147"/>
        <v>0</v>
      </c>
      <c r="AA470" s="150">
        <f t="shared" si="148"/>
        <v>0</v>
      </c>
      <c r="AB470" s="113">
        <f t="shared" si="149"/>
        <v>0</v>
      </c>
      <c r="AC470" s="36"/>
      <c r="AD470" s="272" t="str">
        <f t="shared" si="150"/>
        <v/>
      </c>
      <c r="AE470" s="273">
        <f t="shared" si="151"/>
        <v>0</v>
      </c>
      <c r="AF470" s="273">
        <f t="shared" si="152"/>
        <v>0</v>
      </c>
      <c r="AG470" s="273">
        <f t="shared" si="153"/>
        <v>0</v>
      </c>
      <c r="AH470" s="273">
        <f t="shared" si="154"/>
        <v>0</v>
      </c>
      <c r="AI470" s="273">
        <f t="shared" si="155"/>
        <v>0</v>
      </c>
      <c r="AJ470" s="273">
        <f t="shared" si="156"/>
        <v>0</v>
      </c>
      <c r="AK470" s="273">
        <f t="shared" si="157"/>
        <v>0</v>
      </c>
      <c r="AL470" s="274">
        <f t="shared" si="158"/>
        <v>0</v>
      </c>
      <c r="AN470" s="75" t="str">
        <f t="shared" si="159"/>
        <v>-</v>
      </c>
      <c r="AO470" s="75" t="str">
        <f t="shared" si="160"/>
        <v>-</v>
      </c>
      <c r="AP470" s="48">
        <f t="shared" si="163"/>
        <v>0</v>
      </c>
      <c r="AQ470" s="48">
        <f t="shared" si="161"/>
        <v>0</v>
      </c>
      <c r="AR470" s="49" t="e">
        <f t="shared" si="162"/>
        <v>#N/A</v>
      </c>
    </row>
    <row r="471" spans="1:44" ht="15">
      <c r="A471" s="38"/>
      <c r="B471" s="38"/>
      <c r="C471" s="38"/>
      <c r="D471" s="38"/>
      <c r="E471" s="38"/>
      <c r="F471" s="38"/>
      <c r="G471" s="47">
        <f t="shared" si="144"/>
        <v>6.5978850116714893E-2</v>
      </c>
      <c r="H471" s="44"/>
      <c r="I471" s="44"/>
      <c r="J471" s="45">
        <f t="shared" si="164"/>
        <v>0</v>
      </c>
      <c r="K471" s="38"/>
      <c r="L471" s="38"/>
      <c r="M471" s="38"/>
      <c r="N471" s="34" t="e">
        <f>VLOOKUP(F471,'GHG Emissions Factors'!$B$2:$C$4000,2,FALSE)</f>
        <v>#N/A</v>
      </c>
      <c r="O471" s="45" t="e">
        <f t="shared" si="145"/>
        <v>#N/A</v>
      </c>
      <c r="P471" s="34">
        <f>IF(L471="yes", 0, _xlfn.XLOOKUP(F471, 'GHG Emissions Factors'!$B$2:$B$4000, 'GHG Emissions Factors'!$D$2:$D$4000, 0))</f>
        <v>0</v>
      </c>
      <c r="Q471" s="46"/>
      <c r="R471" s="46"/>
      <c r="S471" s="46">
        <f>ProcurementAllocationData[[#This Row],[Net MWhs Procured]]-(ProcurementAllocationData[[#This Row],[Deep Green]]+ProcurementAllocationData[[#This Row],[LocalSol]]+ProcurementAllocationData[[#This Row],[GreenAccess]])</f>
        <v>0</v>
      </c>
      <c r="T471" s="46"/>
      <c r="U471" s="46"/>
      <c r="V471" s="46"/>
      <c r="W471" s="46"/>
      <c r="X471" s="46"/>
      <c r="Y471" s="112">
        <f t="shared" si="146"/>
        <v>0</v>
      </c>
      <c r="Z471" s="150">
        <f t="shared" si="147"/>
        <v>0</v>
      </c>
      <c r="AA471" s="150">
        <f t="shared" si="148"/>
        <v>0</v>
      </c>
      <c r="AB471" s="113">
        <f t="shared" si="149"/>
        <v>0</v>
      </c>
      <c r="AC471" s="36"/>
      <c r="AD471" s="272" t="str">
        <f t="shared" si="150"/>
        <v/>
      </c>
      <c r="AE471" s="273">
        <f t="shared" si="151"/>
        <v>0</v>
      </c>
      <c r="AF471" s="273">
        <f t="shared" si="152"/>
        <v>0</v>
      </c>
      <c r="AG471" s="273">
        <f t="shared" si="153"/>
        <v>0</v>
      </c>
      <c r="AH471" s="273">
        <f t="shared" si="154"/>
        <v>0</v>
      </c>
      <c r="AI471" s="273">
        <f t="shared" si="155"/>
        <v>0</v>
      </c>
      <c r="AJ471" s="273">
        <f t="shared" si="156"/>
        <v>0</v>
      </c>
      <c r="AK471" s="273">
        <f t="shared" si="157"/>
        <v>0</v>
      </c>
      <c r="AL471" s="274">
        <f t="shared" si="158"/>
        <v>0</v>
      </c>
      <c r="AN471" s="75" t="str">
        <f t="shared" si="159"/>
        <v>-</v>
      </c>
      <c r="AO471" s="75" t="str">
        <f t="shared" si="160"/>
        <v>-</v>
      </c>
      <c r="AP471" s="48">
        <f t="shared" si="163"/>
        <v>0</v>
      </c>
      <c r="AQ471" s="48">
        <f t="shared" si="161"/>
        <v>0</v>
      </c>
      <c r="AR471" s="49" t="e">
        <f t="shared" si="162"/>
        <v>#N/A</v>
      </c>
    </row>
    <row r="472" spans="1:44" ht="15">
      <c r="A472" s="38"/>
      <c r="B472" s="38"/>
      <c r="C472" s="38"/>
      <c r="D472" s="38"/>
      <c r="E472" s="38"/>
      <c r="F472" s="38"/>
      <c r="G472" s="47">
        <f t="shared" si="144"/>
        <v>6.5978850116714893E-2</v>
      </c>
      <c r="H472" s="44"/>
      <c r="I472" s="44"/>
      <c r="J472" s="45">
        <f t="shared" si="164"/>
        <v>0</v>
      </c>
      <c r="K472" s="38"/>
      <c r="L472" s="38"/>
      <c r="M472" s="38"/>
      <c r="N472" s="34" t="e">
        <f>VLOOKUP(F472,'GHG Emissions Factors'!$B$2:$C$4000,2,FALSE)</f>
        <v>#N/A</v>
      </c>
      <c r="O472" s="45" t="e">
        <f t="shared" si="145"/>
        <v>#N/A</v>
      </c>
      <c r="P472" s="34">
        <f>IF(L472="yes", 0, _xlfn.XLOOKUP(F472, 'GHG Emissions Factors'!$B$2:$B$4000, 'GHG Emissions Factors'!$D$2:$D$4000, 0))</f>
        <v>0</v>
      </c>
      <c r="Q472" s="46"/>
      <c r="R472" s="46"/>
      <c r="S472" s="46">
        <f>ProcurementAllocationData[[#This Row],[Net MWhs Procured]]-(ProcurementAllocationData[[#This Row],[Deep Green]]+ProcurementAllocationData[[#This Row],[LocalSol]]+ProcurementAllocationData[[#This Row],[GreenAccess]])</f>
        <v>0</v>
      </c>
      <c r="T472" s="46"/>
      <c r="U472" s="46"/>
      <c r="V472" s="46"/>
      <c r="W472" s="46"/>
      <c r="X472" s="46"/>
      <c r="Y472" s="112">
        <f t="shared" si="146"/>
        <v>0</v>
      </c>
      <c r="Z472" s="150">
        <f t="shared" si="147"/>
        <v>0</v>
      </c>
      <c r="AA472" s="150">
        <f t="shared" si="148"/>
        <v>0</v>
      </c>
      <c r="AB472" s="113">
        <f t="shared" si="149"/>
        <v>0</v>
      </c>
      <c r="AC472" s="36"/>
      <c r="AD472" s="272" t="str">
        <f t="shared" si="150"/>
        <v/>
      </c>
      <c r="AE472" s="273">
        <f t="shared" si="151"/>
        <v>0</v>
      </c>
      <c r="AF472" s="273">
        <f t="shared" si="152"/>
        <v>0</v>
      </c>
      <c r="AG472" s="273">
        <f t="shared" si="153"/>
        <v>0</v>
      </c>
      <c r="AH472" s="273">
        <f t="shared" si="154"/>
        <v>0</v>
      </c>
      <c r="AI472" s="273">
        <f t="shared" si="155"/>
        <v>0</v>
      </c>
      <c r="AJ472" s="273">
        <f t="shared" si="156"/>
        <v>0</v>
      </c>
      <c r="AK472" s="273">
        <f t="shared" si="157"/>
        <v>0</v>
      </c>
      <c r="AL472" s="274">
        <f t="shared" si="158"/>
        <v>0</v>
      </c>
      <c r="AN472" s="75" t="str">
        <f t="shared" si="159"/>
        <v>-</v>
      </c>
      <c r="AO472" s="75" t="str">
        <f t="shared" si="160"/>
        <v>-</v>
      </c>
      <c r="AP472" s="48">
        <f t="shared" si="163"/>
        <v>0</v>
      </c>
      <c r="AQ472" s="48">
        <f t="shared" si="161"/>
        <v>0</v>
      </c>
      <c r="AR472" s="49" t="e">
        <f t="shared" si="162"/>
        <v>#N/A</v>
      </c>
    </row>
    <row r="473" spans="1:44" ht="15">
      <c r="A473" s="38"/>
      <c r="B473" s="38"/>
      <c r="C473" s="38"/>
      <c r="D473" s="38"/>
      <c r="E473" s="38"/>
      <c r="F473" s="38"/>
      <c r="G473" s="47">
        <f t="shared" si="144"/>
        <v>6.5978850116714893E-2</v>
      </c>
      <c r="H473" s="44"/>
      <c r="I473" s="44"/>
      <c r="J473" s="45">
        <f t="shared" si="164"/>
        <v>0</v>
      </c>
      <c r="K473" s="38"/>
      <c r="L473" s="38"/>
      <c r="M473" s="38"/>
      <c r="N473" s="34" t="e">
        <f>VLOOKUP(F473,'GHG Emissions Factors'!$B$2:$C$4000,2,FALSE)</f>
        <v>#N/A</v>
      </c>
      <c r="O473" s="45" t="e">
        <f t="shared" si="145"/>
        <v>#N/A</v>
      </c>
      <c r="P473" s="34">
        <f>IF(L473="yes", 0, _xlfn.XLOOKUP(F473, 'GHG Emissions Factors'!$B$2:$B$4000, 'GHG Emissions Factors'!$D$2:$D$4000, 0))</f>
        <v>0</v>
      </c>
      <c r="Q473" s="46"/>
      <c r="R473" s="46"/>
      <c r="S473" s="46">
        <f>ProcurementAllocationData[[#This Row],[Net MWhs Procured]]-(ProcurementAllocationData[[#This Row],[Deep Green]]+ProcurementAllocationData[[#This Row],[LocalSol]]+ProcurementAllocationData[[#This Row],[GreenAccess]])</f>
        <v>0</v>
      </c>
      <c r="T473" s="46"/>
      <c r="U473" s="46"/>
      <c r="V473" s="46"/>
      <c r="W473" s="46"/>
      <c r="X473" s="46"/>
      <c r="Y473" s="112">
        <f t="shared" si="146"/>
        <v>0</v>
      </c>
      <c r="Z473" s="150">
        <f t="shared" si="147"/>
        <v>0</v>
      </c>
      <c r="AA473" s="150">
        <f t="shared" si="148"/>
        <v>0</v>
      </c>
      <c r="AB473" s="113">
        <f t="shared" si="149"/>
        <v>0</v>
      </c>
      <c r="AC473" s="36"/>
      <c r="AD473" s="272" t="str">
        <f t="shared" si="150"/>
        <v/>
      </c>
      <c r="AE473" s="273">
        <f t="shared" si="151"/>
        <v>0</v>
      </c>
      <c r="AF473" s="273">
        <f t="shared" si="152"/>
        <v>0</v>
      </c>
      <c r="AG473" s="273">
        <f t="shared" si="153"/>
        <v>0</v>
      </c>
      <c r="AH473" s="273">
        <f t="shared" si="154"/>
        <v>0</v>
      </c>
      <c r="AI473" s="273">
        <f t="shared" si="155"/>
        <v>0</v>
      </c>
      <c r="AJ473" s="273">
        <f t="shared" si="156"/>
        <v>0</v>
      </c>
      <c r="AK473" s="273">
        <f t="shared" si="157"/>
        <v>0</v>
      </c>
      <c r="AL473" s="274">
        <f t="shared" si="158"/>
        <v>0</v>
      </c>
      <c r="AN473" s="75" t="str">
        <f t="shared" si="159"/>
        <v>-</v>
      </c>
      <c r="AO473" s="75" t="str">
        <f t="shared" si="160"/>
        <v>-</v>
      </c>
      <c r="AP473" s="48">
        <f t="shared" si="163"/>
        <v>0</v>
      </c>
      <c r="AQ473" s="48">
        <f t="shared" si="161"/>
        <v>0</v>
      </c>
      <c r="AR473" s="49" t="e">
        <f t="shared" si="162"/>
        <v>#N/A</v>
      </c>
    </row>
    <row r="474" spans="1:44" ht="15">
      <c r="A474" s="38"/>
      <c r="B474" s="38"/>
      <c r="C474" s="38"/>
      <c r="D474" s="38"/>
      <c r="E474" s="38"/>
      <c r="F474" s="38"/>
      <c r="G474" s="47">
        <f t="shared" si="144"/>
        <v>6.5978850116714893E-2</v>
      </c>
      <c r="H474" s="44"/>
      <c r="I474" s="44"/>
      <c r="J474" s="45">
        <f t="shared" si="164"/>
        <v>0</v>
      </c>
      <c r="K474" s="38"/>
      <c r="L474" s="38"/>
      <c r="M474" s="38"/>
      <c r="N474" s="34" t="e">
        <f>VLOOKUP(F474,'GHG Emissions Factors'!$B$2:$C$4000,2,FALSE)</f>
        <v>#N/A</v>
      </c>
      <c r="O474" s="45" t="e">
        <f t="shared" si="145"/>
        <v>#N/A</v>
      </c>
      <c r="P474" s="34">
        <f>IF(L474="yes", 0, _xlfn.XLOOKUP(F474, 'GHG Emissions Factors'!$B$2:$B$4000, 'GHG Emissions Factors'!$D$2:$D$4000, 0))</f>
        <v>0</v>
      </c>
      <c r="Q474" s="46"/>
      <c r="R474" s="46"/>
      <c r="S474" s="46">
        <f>ProcurementAllocationData[[#This Row],[Net MWhs Procured]]-(ProcurementAllocationData[[#This Row],[Deep Green]]+ProcurementAllocationData[[#This Row],[LocalSol]]+ProcurementAllocationData[[#This Row],[GreenAccess]])</f>
        <v>0</v>
      </c>
      <c r="T474" s="46"/>
      <c r="U474" s="46"/>
      <c r="V474" s="46"/>
      <c r="W474" s="46"/>
      <c r="X474" s="46"/>
      <c r="Y474" s="112">
        <f t="shared" si="146"/>
        <v>0</v>
      </c>
      <c r="Z474" s="150">
        <f t="shared" si="147"/>
        <v>0</v>
      </c>
      <c r="AA474" s="150">
        <f t="shared" si="148"/>
        <v>0</v>
      </c>
      <c r="AB474" s="113">
        <f t="shared" si="149"/>
        <v>0</v>
      </c>
      <c r="AC474" s="36"/>
      <c r="AD474" s="272" t="str">
        <f t="shared" si="150"/>
        <v/>
      </c>
      <c r="AE474" s="273">
        <f t="shared" si="151"/>
        <v>0</v>
      </c>
      <c r="AF474" s="273">
        <f t="shared" si="152"/>
        <v>0</v>
      </c>
      <c r="AG474" s="273">
        <f t="shared" si="153"/>
        <v>0</v>
      </c>
      <c r="AH474" s="273">
        <f t="shared" si="154"/>
        <v>0</v>
      </c>
      <c r="AI474" s="273">
        <f t="shared" si="155"/>
        <v>0</v>
      </c>
      <c r="AJ474" s="273">
        <f t="shared" si="156"/>
        <v>0</v>
      </c>
      <c r="AK474" s="273">
        <f t="shared" si="157"/>
        <v>0</v>
      </c>
      <c r="AL474" s="274">
        <f t="shared" si="158"/>
        <v>0</v>
      </c>
      <c r="AN474" s="75" t="str">
        <f t="shared" si="159"/>
        <v>-</v>
      </c>
      <c r="AO474" s="75" t="str">
        <f t="shared" si="160"/>
        <v>-</v>
      </c>
      <c r="AP474" s="48">
        <f t="shared" si="163"/>
        <v>0</v>
      </c>
      <c r="AQ474" s="48">
        <f t="shared" si="161"/>
        <v>0</v>
      </c>
      <c r="AR474" s="49" t="e">
        <f t="shared" si="162"/>
        <v>#N/A</v>
      </c>
    </row>
    <row r="475" spans="1:44" ht="15">
      <c r="A475" s="38"/>
      <c r="B475" s="38"/>
      <c r="C475" s="38"/>
      <c r="D475" s="38"/>
      <c r="E475" s="38"/>
      <c r="F475" s="38"/>
      <c r="G475" s="47">
        <f t="shared" si="144"/>
        <v>6.5978850116714893E-2</v>
      </c>
      <c r="H475" s="44"/>
      <c r="I475" s="44"/>
      <c r="J475" s="45">
        <f t="shared" si="164"/>
        <v>0</v>
      </c>
      <c r="K475" s="38"/>
      <c r="L475" s="38"/>
      <c r="M475" s="38"/>
      <c r="N475" s="34" t="e">
        <f>VLOOKUP(F475,'GHG Emissions Factors'!$B$2:$C$4000,2,FALSE)</f>
        <v>#N/A</v>
      </c>
      <c r="O475" s="45" t="e">
        <f t="shared" si="145"/>
        <v>#N/A</v>
      </c>
      <c r="P475" s="34">
        <f>IF(L475="yes", 0, _xlfn.XLOOKUP(F475, 'GHG Emissions Factors'!$B$2:$B$4000, 'GHG Emissions Factors'!$D$2:$D$4000, 0))</f>
        <v>0</v>
      </c>
      <c r="Q475" s="46"/>
      <c r="R475" s="46"/>
      <c r="S475" s="46">
        <f>ProcurementAllocationData[[#This Row],[Net MWhs Procured]]-(ProcurementAllocationData[[#This Row],[Deep Green]]+ProcurementAllocationData[[#This Row],[LocalSol]]+ProcurementAllocationData[[#This Row],[GreenAccess]])</f>
        <v>0</v>
      </c>
      <c r="T475" s="46"/>
      <c r="U475" s="46"/>
      <c r="V475" s="46"/>
      <c r="W475" s="46"/>
      <c r="X475" s="46"/>
      <c r="Y475" s="112">
        <f t="shared" si="146"/>
        <v>0</v>
      </c>
      <c r="Z475" s="150">
        <f t="shared" si="147"/>
        <v>0</v>
      </c>
      <c r="AA475" s="150">
        <f t="shared" si="148"/>
        <v>0</v>
      </c>
      <c r="AB475" s="113">
        <f t="shared" si="149"/>
        <v>0</v>
      </c>
      <c r="AC475" s="36"/>
      <c r="AD475" s="272" t="str">
        <f t="shared" si="150"/>
        <v/>
      </c>
      <c r="AE475" s="273">
        <f t="shared" si="151"/>
        <v>0</v>
      </c>
      <c r="AF475" s="273">
        <f t="shared" si="152"/>
        <v>0</v>
      </c>
      <c r="AG475" s="273">
        <f t="shared" si="153"/>
        <v>0</v>
      </c>
      <c r="AH475" s="273">
        <f t="shared" si="154"/>
        <v>0</v>
      </c>
      <c r="AI475" s="273">
        <f t="shared" si="155"/>
        <v>0</v>
      </c>
      <c r="AJ475" s="273">
        <f t="shared" si="156"/>
        <v>0</v>
      </c>
      <c r="AK475" s="273">
        <f t="shared" si="157"/>
        <v>0</v>
      </c>
      <c r="AL475" s="274">
        <f t="shared" si="158"/>
        <v>0</v>
      </c>
      <c r="AN475" s="75" t="str">
        <f t="shared" si="159"/>
        <v>-</v>
      </c>
      <c r="AO475" s="75" t="str">
        <f t="shared" si="160"/>
        <v>-</v>
      </c>
      <c r="AP475" s="48">
        <f t="shared" si="163"/>
        <v>0</v>
      </c>
      <c r="AQ475" s="48">
        <f t="shared" si="161"/>
        <v>0</v>
      </c>
      <c r="AR475" s="49" t="e">
        <f t="shared" si="162"/>
        <v>#N/A</v>
      </c>
    </row>
    <row r="476" spans="1:44" ht="15">
      <c r="A476" s="38"/>
      <c r="B476" s="38"/>
      <c r="C476" s="38"/>
      <c r="D476" s="38"/>
      <c r="E476" s="38"/>
      <c r="F476" s="38"/>
      <c r="G476" s="47">
        <f t="shared" ref="G476:G539" si="165">IF(C476="CA",Default_in_state_loss_factor,Default_out_of_state_loss_factor)</f>
        <v>6.5978850116714893E-2</v>
      </c>
      <c r="H476" s="44"/>
      <c r="I476" s="44"/>
      <c r="J476" s="45">
        <f t="shared" si="164"/>
        <v>0</v>
      </c>
      <c r="K476" s="38"/>
      <c r="L476" s="38"/>
      <c r="M476" s="38"/>
      <c r="N476" s="34" t="e">
        <f>VLOOKUP(F476,'GHG Emissions Factors'!$B$2:$C$4000,2,FALSE)</f>
        <v>#N/A</v>
      </c>
      <c r="O476" s="45" t="e">
        <f t="shared" ref="O476:O539" si="166">N476*J476</f>
        <v>#N/A</v>
      </c>
      <c r="P476" s="34">
        <f>IF(L476="yes", 0, _xlfn.XLOOKUP(F476, 'GHG Emissions Factors'!$B$2:$B$4000, 'GHG Emissions Factors'!$D$2:$D$4000, 0))</f>
        <v>0</v>
      </c>
      <c r="Q476" s="46"/>
      <c r="R476" s="46"/>
      <c r="S476" s="46">
        <f>ProcurementAllocationData[[#This Row],[Net MWhs Procured]]-(ProcurementAllocationData[[#This Row],[Deep Green]]+ProcurementAllocationData[[#This Row],[LocalSol]]+ProcurementAllocationData[[#This Row],[GreenAccess]])</f>
        <v>0</v>
      </c>
      <c r="T476" s="46"/>
      <c r="U476" s="46"/>
      <c r="V476" s="46"/>
      <c r="W476" s="46"/>
      <c r="X476" s="46"/>
      <c r="Y476" s="112">
        <f t="shared" ref="Y476:Y539" si="167">ROUND((SUM(Q476:X476)*G476),0)</f>
        <v>0</v>
      </c>
      <c r="Z476" s="150">
        <f t="shared" ref="Z476:Z539" si="168">IF(M476="Yes",Y476,0)</f>
        <v>0</v>
      </c>
      <c r="AA476" s="150">
        <f t="shared" ref="AA476:AA539" si="169">Y476-Z476</f>
        <v>0</v>
      </c>
      <c r="AB476" s="113">
        <f t="shared" ref="AB476:AB539" si="170">J476-(SUM(Q476:X476))</f>
        <v>0</v>
      </c>
      <c r="AC476" s="36"/>
      <c r="AD476" s="272" t="str">
        <f t="shared" ref="AD476:AD539" si="171">IF(ISTEXT(A476),A476,"")</f>
        <v/>
      </c>
      <c r="AE476" s="273">
        <f t="shared" ref="AE476:AE539" si="172">Q476*$P476</f>
        <v>0</v>
      </c>
      <c r="AF476" s="273">
        <f t="shared" ref="AF476:AF539" si="173">R476*$P476</f>
        <v>0</v>
      </c>
      <c r="AG476" s="273">
        <f t="shared" ref="AG476:AG539" si="174">S476*$P476</f>
        <v>0</v>
      </c>
      <c r="AH476" s="273">
        <f t="shared" ref="AH476:AH539" si="175">T476*$P476</f>
        <v>0</v>
      </c>
      <c r="AI476" s="273">
        <f t="shared" ref="AI476:AI539" si="176">U476*$P476</f>
        <v>0</v>
      </c>
      <c r="AJ476" s="273">
        <f t="shared" ref="AJ476:AJ539" si="177">V476*$P476</f>
        <v>0</v>
      </c>
      <c r="AK476" s="273">
        <f t="shared" ref="AK476:AK539" si="178">W476*$P476</f>
        <v>0</v>
      </c>
      <c r="AL476" s="274">
        <f t="shared" ref="AL476:AL539" si="179">(X476*$P476)+(Z476*$P476)</f>
        <v>0</v>
      </c>
      <c r="AN476" s="75" t="str">
        <f t="shared" ref="AN476:AN539" si="180">IF(AB476&gt;0,A476,"-")</f>
        <v>-</v>
      </c>
      <c r="AO476" s="75" t="str">
        <f t="shared" ref="AO476:AO539" si="181">IF(AB476&gt;0,B476,"-")</f>
        <v>-</v>
      </c>
      <c r="AP476" s="48">
        <f t="shared" si="163"/>
        <v>0</v>
      </c>
      <c r="AQ476" s="48">
        <f t="shared" ref="AQ476:AQ539" si="182">AP476*G476</f>
        <v>0</v>
      </c>
      <c r="AR476" s="49" t="e">
        <f t="shared" ref="AR476:AR539" si="183">IF(ISNUMBER(AP476),AP476*N476,0)</f>
        <v>#N/A</v>
      </c>
    </row>
    <row r="477" spans="1:44" ht="15">
      <c r="A477" s="38"/>
      <c r="B477" s="38"/>
      <c r="C477" s="38"/>
      <c r="D477" s="38"/>
      <c r="E477" s="38"/>
      <c r="F477" s="38"/>
      <c r="G477" s="47">
        <f t="shared" si="165"/>
        <v>6.5978850116714893E-2</v>
      </c>
      <c r="H477" s="44"/>
      <c r="I477" s="44"/>
      <c r="J477" s="45">
        <f t="shared" si="164"/>
        <v>0</v>
      </c>
      <c r="K477" s="38"/>
      <c r="L477" s="38"/>
      <c r="M477" s="38"/>
      <c r="N477" s="34" t="e">
        <f>VLOOKUP(F477,'GHG Emissions Factors'!$B$2:$C$4000,2,FALSE)</f>
        <v>#N/A</v>
      </c>
      <c r="O477" s="45" t="e">
        <f t="shared" si="166"/>
        <v>#N/A</v>
      </c>
      <c r="P477" s="34">
        <f>IF(L477="yes", 0, _xlfn.XLOOKUP(F477, 'GHG Emissions Factors'!$B$2:$B$4000, 'GHG Emissions Factors'!$D$2:$D$4000, 0))</f>
        <v>0</v>
      </c>
      <c r="Q477" s="46"/>
      <c r="R477" s="46"/>
      <c r="S477" s="46">
        <f>ProcurementAllocationData[[#This Row],[Net MWhs Procured]]-(ProcurementAllocationData[[#This Row],[Deep Green]]+ProcurementAllocationData[[#This Row],[LocalSol]]+ProcurementAllocationData[[#This Row],[GreenAccess]])</f>
        <v>0</v>
      </c>
      <c r="T477" s="46"/>
      <c r="U477" s="46"/>
      <c r="V477" s="46"/>
      <c r="W477" s="46"/>
      <c r="X477" s="46"/>
      <c r="Y477" s="112">
        <f t="shared" si="167"/>
        <v>0</v>
      </c>
      <c r="Z477" s="150">
        <f t="shared" si="168"/>
        <v>0</v>
      </c>
      <c r="AA477" s="150">
        <f t="shared" si="169"/>
        <v>0</v>
      </c>
      <c r="AB477" s="113">
        <f t="shared" si="170"/>
        <v>0</v>
      </c>
      <c r="AC477" s="36"/>
      <c r="AD477" s="272" t="str">
        <f t="shared" si="171"/>
        <v/>
      </c>
      <c r="AE477" s="273">
        <f t="shared" si="172"/>
        <v>0</v>
      </c>
      <c r="AF477" s="273">
        <f t="shared" si="173"/>
        <v>0</v>
      </c>
      <c r="AG477" s="273">
        <f t="shared" si="174"/>
        <v>0</v>
      </c>
      <c r="AH477" s="273">
        <f t="shared" si="175"/>
        <v>0</v>
      </c>
      <c r="AI477" s="273">
        <f t="shared" si="176"/>
        <v>0</v>
      </c>
      <c r="AJ477" s="273">
        <f t="shared" si="177"/>
        <v>0</v>
      </c>
      <c r="AK477" s="273">
        <f t="shared" si="178"/>
        <v>0</v>
      </c>
      <c r="AL477" s="274">
        <f t="shared" si="179"/>
        <v>0</v>
      </c>
      <c r="AN477" s="75" t="str">
        <f t="shared" si="180"/>
        <v>-</v>
      </c>
      <c r="AO477" s="75" t="str">
        <f t="shared" si="181"/>
        <v>-</v>
      </c>
      <c r="AP477" s="48">
        <f t="shared" ref="AP477:AP540" si="184">IF(AB477&gt;0,AB477,0)</f>
        <v>0</v>
      </c>
      <c r="AQ477" s="48">
        <f t="shared" si="182"/>
        <v>0</v>
      </c>
      <c r="AR477" s="49" t="e">
        <f t="shared" si="183"/>
        <v>#N/A</v>
      </c>
    </row>
    <row r="478" spans="1:44" ht="15">
      <c r="A478" s="38"/>
      <c r="B478" s="38"/>
      <c r="C478" s="38"/>
      <c r="D478" s="38"/>
      <c r="E478" s="38"/>
      <c r="F478" s="38"/>
      <c r="G478" s="47">
        <f t="shared" si="165"/>
        <v>6.5978850116714893E-2</v>
      </c>
      <c r="H478" s="44"/>
      <c r="I478" s="44"/>
      <c r="J478" s="45">
        <f t="shared" si="164"/>
        <v>0</v>
      </c>
      <c r="K478" s="38"/>
      <c r="L478" s="38"/>
      <c r="M478" s="38"/>
      <c r="N478" s="34" t="e">
        <f>VLOOKUP(F478,'GHG Emissions Factors'!$B$2:$C$4000,2,FALSE)</f>
        <v>#N/A</v>
      </c>
      <c r="O478" s="45" t="e">
        <f t="shared" si="166"/>
        <v>#N/A</v>
      </c>
      <c r="P478" s="34">
        <f>IF(L478="yes", 0, _xlfn.XLOOKUP(F478, 'GHG Emissions Factors'!$B$2:$B$4000, 'GHG Emissions Factors'!$D$2:$D$4000, 0))</f>
        <v>0</v>
      </c>
      <c r="Q478" s="46"/>
      <c r="R478" s="46"/>
      <c r="S478" s="46">
        <f>ProcurementAllocationData[[#This Row],[Net MWhs Procured]]-(ProcurementAllocationData[[#This Row],[Deep Green]]+ProcurementAllocationData[[#This Row],[LocalSol]]+ProcurementAllocationData[[#This Row],[GreenAccess]])</f>
        <v>0</v>
      </c>
      <c r="T478" s="46"/>
      <c r="U478" s="46"/>
      <c r="V478" s="46"/>
      <c r="W478" s="46"/>
      <c r="X478" s="46"/>
      <c r="Y478" s="112">
        <f t="shared" si="167"/>
        <v>0</v>
      </c>
      <c r="Z478" s="150">
        <f t="shared" si="168"/>
        <v>0</v>
      </c>
      <c r="AA478" s="150">
        <f t="shared" si="169"/>
        <v>0</v>
      </c>
      <c r="AB478" s="113">
        <f t="shared" si="170"/>
        <v>0</v>
      </c>
      <c r="AC478" s="36"/>
      <c r="AD478" s="272" t="str">
        <f t="shared" si="171"/>
        <v/>
      </c>
      <c r="AE478" s="273">
        <f t="shared" si="172"/>
        <v>0</v>
      </c>
      <c r="AF478" s="273">
        <f t="shared" si="173"/>
        <v>0</v>
      </c>
      <c r="AG478" s="273">
        <f t="shared" si="174"/>
        <v>0</v>
      </c>
      <c r="AH478" s="273">
        <f t="shared" si="175"/>
        <v>0</v>
      </c>
      <c r="AI478" s="273">
        <f t="shared" si="176"/>
        <v>0</v>
      </c>
      <c r="AJ478" s="273">
        <f t="shared" si="177"/>
        <v>0</v>
      </c>
      <c r="AK478" s="273">
        <f t="shared" si="178"/>
        <v>0</v>
      </c>
      <c r="AL478" s="274">
        <f t="shared" si="179"/>
        <v>0</v>
      </c>
      <c r="AN478" s="75" t="str">
        <f t="shared" si="180"/>
        <v>-</v>
      </c>
      <c r="AO478" s="75" t="str">
        <f t="shared" si="181"/>
        <v>-</v>
      </c>
      <c r="AP478" s="48">
        <f t="shared" si="184"/>
        <v>0</v>
      </c>
      <c r="AQ478" s="48">
        <f t="shared" si="182"/>
        <v>0</v>
      </c>
      <c r="AR478" s="49" t="e">
        <f t="shared" si="183"/>
        <v>#N/A</v>
      </c>
    </row>
    <row r="479" spans="1:44" ht="15">
      <c r="A479" s="38"/>
      <c r="B479" s="38"/>
      <c r="C479" s="38"/>
      <c r="D479" s="38"/>
      <c r="E479" s="38"/>
      <c r="F479" s="38"/>
      <c r="G479" s="47">
        <f t="shared" si="165"/>
        <v>6.5978850116714893E-2</v>
      </c>
      <c r="H479" s="44"/>
      <c r="I479" s="44"/>
      <c r="J479" s="45">
        <f t="shared" si="164"/>
        <v>0</v>
      </c>
      <c r="K479" s="38"/>
      <c r="L479" s="38"/>
      <c r="M479" s="38"/>
      <c r="N479" s="34" t="e">
        <f>VLOOKUP(F479,'GHG Emissions Factors'!$B$2:$C$4000,2,FALSE)</f>
        <v>#N/A</v>
      </c>
      <c r="O479" s="45" t="e">
        <f t="shared" si="166"/>
        <v>#N/A</v>
      </c>
      <c r="P479" s="34">
        <f>IF(L479="yes", 0, _xlfn.XLOOKUP(F479, 'GHG Emissions Factors'!$B$2:$B$4000, 'GHG Emissions Factors'!$D$2:$D$4000, 0))</f>
        <v>0</v>
      </c>
      <c r="Q479" s="46"/>
      <c r="R479" s="46"/>
      <c r="S479" s="46">
        <f>ProcurementAllocationData[[#This Row],[Net MWhs Procured]]-(ProcurementAllocationData[[#This Row],[Deep Green]]+ProcurementAllocationData[[#This Row],[LocalSol]]+ProcurementAllocationData[[#This Row],[GreenAccess]])</f>
        <v>0</v>
      </c>
      <c r="T479" s="46"/>
      <c r="U479" s="46"/>
      <c r="V479" s="46"/>
      <c r="W479" s="46"/>
      <c r="X479" s="46"/>
      <c r="Y479" s="112">
        <f t="shared" si="167"/>
        <v>0</v>
      </c>
      <c r="Z479" s="150">
        <f t="shared" si="168"/>
        <v>0</v>
      </c>
      <c r="AA479" s="150">
        <f t="shared" si="169"/>
        <v>0</v>
      </c>
      <c r="AB479" s="113">
        <f t="shared" si="170"/>
        <v>0</v>
      </c>
      <c r="AC479" s="36"/>
      <c r="AD479" s="272" t="str">
        <f t="shared" si="171"/>
        <v/>
      </c>
      <c r="AE479" s="273">
        <f t="shared" si="172"/>
        <v>0</v>
      </c>
      <c r="AF479" s="273">
        <f t="shared" si="173"/>
        <v>0</v>
      </c>
      <c r="AG479" s="273">
        <f t="shared" si="174"/>
        <v>0</v>
      </c>
      <c r="AH479" s="273">
        <f t="shared" si="175"/>
        <v>0</v>
      </c>
      <c r="AI479" s="273">
        <f t="shared" si="176"/>
        <v>0</v>
      </c>
      <c r="AJ479" s="273">
        <f t="shared" si="177"/>
        <v>0</v>
      </c>
      <c r="AK479" s="273">
        <f t="shared" si="178"/>
        <v>0</v>
      </c>
      <c r="AL479" s="274">
        <f t="shared" si="179"/>
        <v>0</v>
      </c>
      <c r="AN479" s="75" t="str">
        <f t="shared" si="180"/>
        <v>-</v>
      </c>
      <c r="AO479" s="75" t="str">
        <f t="shared" si="181"/>
        <v>-</v>
      </c>
      <c r="AP479" s="48">
        <f t="shared" si="184"/>
        <v>0</v>
      </c>
      <c r="AQ479" s="48">
        <f t="shared" si="182"/>
        <v>0</v>
      </c>
      <c r="AR479" s="49" t="e">
        <f t="shared" si="183"/>
        <v>#N/A</v>
      </c>
    </row>
    <row r="480" spans="1:44" ht="15">
      <c r="A480" s="38"/>
      <c r="B480" s="38"/>
      <c r="C480" s="38"/>
      <c r="D480" s="38"/>
      <c r="E480" s="38"/>
      <c r="F480" s="38"/>
      <c r="G480" s="47">
        <f t="shared" si="165"/>
        <v>6.5978850116714893E-2</v>
      </c>
      <c r="H480" s="44"/>
      <c r="I480" s="44"/>
      <c r="J480" s="45">
        <f t="shared" si="164"/>
        <v>0</v>
      </c>
      <c r="K480" s="38"/>
      <c r="L480" s="38"/>
      <c r="M480" s="38"/>
      <c r="N480" s="34" t="e">
        <f>VLOOKUP(F480,'GHG Emissions Factors'!$B$2:$C$4000,2,FALSE)</f>
        <v>#N/A</v>
      </c>
      <c r="O480" s="45" t="e">
        <f t="shared" si="166"/>
        <v>#N/A</v>
      </c>
      <c r="P480" s="34">
        <f>IF(L480="yes", 0, _xlfn.XLOOKUP(F480, 'GHG Emissions Factors'!$B$2:$B$4000, 'GHG Emissions Factors'!$D$2:$D$4000, 0))</f>
        <v>0</v>
      </c>
      <c r="Q480" s="46"/>
      <c r="R480" s="46"/>
      <c r="S480" s="46">
        <f>ProcurementAllocationData[[#This Row],[Net MWhs Procured]]-(ProcurementAllocationData[[#This Row],[Deep Green]]+ProcurementAllocationData[[#This Row],[LocalSol]]+ProcurementAllocationData[[#This Row],[GreenAccess]])</f>
        <v>0</v>
      </c>
      <c r="T480" s="46"/>
      <c r="U480" s="46"/>
      <c r="V480" s="46"/>
      <c r="W480" s="46"/>
      <c r="X480" s="46"/>
      <c r="Y480" s="112">
        <f t="shared" si="167"/>
        <v>0</v>
      </c>
      <c r="Z480" s="150">
        <f t="shared" si="168"/>
        <v>0</v>
      </c>
      <c r="AA480" s="150">
        <f t="shared" si="169"/>
        <v>0</v>
      </c>
      <c r="AB480" s="113">
        <f t="shared" si="170"/>
        <v>0</v>
      </c>
      <c r="AC480" s="36"/>
      <c r="AD480" s="272" t="str">
        <f t="shared" si="171"/>
        <v/>
      </c>
      <c r="AE480" s="273">
        <f t="shared" si="172"/>
        <v>0</v>
      </c>
      <c r="AF480" s="273">
        <f t="shared" si="173"/>
        <v>0</v>
      </c>
      <c r="AG480" s="273">
        <f t="shared" si="174"/>
        <v>0</v>
      </c>
      <c r="AH480" s="273">
        <f t="shared" si="175"/>
        <v>0</v>
      </c>
      <c r="AI480" s="273">
        <f t="shared" si="176"/>
        <v>0</v>
      </c>
      <c r="AJ480" s="273">
        <f t="shared" si="177"/>
        <v>0</v>
      </c>
      <c r="AK480" s="273">
        <f t="shared" si="178"/>
        <v>0</v>
      </c>
      <c r="AL480" s="274">
        <f t="shared" si="179"/>
        <v>0</v>
      </c>
      <c r="AN480" s="75" t="str">
        <f t="shared" si="180"/>
        <v>-</v>
      </c>
      <c r="AO480" s="75" t="str">
        <f t="shared" si="181"/>
        <v>-</v>
      </c>
      <c r="AP480" s="48">
        <f t="shared" si="184"/>
        <v>0</v>
      </c>
      <c r="AQ480" s="48">
        <f t="shared" si="182"/>
        <v>0</v>
      </c>
      <c r="AR480" s="49" t="e">
        <f t="shared" si="183"/>
        <v>#N/A</v>
      </c>
    </row>
    <row r="481" spans="1:44" ht="15">
      <c r="A481" s="38"/>
      <c r="B481" s="38"/>
      <c r="C481" s="38"/>
      <c r="D481" s="38"/>
      <c r="E481" s="38"/>
      <c r="F481" s="38"/>
      <c r="G481" s="47">
        <f t="shared" si="165"/>
        <v>6.5978850116714893E-2</v>
      </c>
      <c r="H481" s="44"/>
      <c r="I481" s="44"/>
      <c r="J481" s="45">
        <f t="shared" si="164"/>
        <v>0</v>
      </c>
      <c r="K481" s="38"/>
      <c r="L481" s="38"/>
      <c r="M481" s="38"/>
      <c r="N481" s="34" t="e">
        <f>VLOOKUP(F481,'GHG Emissions Factors'!$B$2:$C$4000,2,FALSE)</f>
        <v>#N/A</v>
      </c>
      <c r="O481" s="45" t="e">
        <f t="shared" si="166"/>
        <v>#N/A</v>
      </c>
      <c r="P481" s="34">
        <f>IF(L481="yes", 0, _xlfn.XLOOKUP(F481, 'GHG Emissions Factors'!$B$2:$B$4000, 'GHG Emissions Factors'!$D$2:$D$4000, 0))</f>
        <v>0</v>
      </c>
      <c r="Q481" s="46"/>
      <c r="R481" s="46"/>
      <c r="S481" s="46">
        <f>ProcurementAllocationData[[#This Row],[Net MWhs Procured]]-(ProcurementAllocationData[[#This Row],[Deep Green]]+ProcurementAllocationData[[#This Row],[LocalSol]]+ProcurementAllocationData[[#This Row],[GreenAccess]])</f>
        <v>0</v>
      </c>
      <c r="T481" s="46"/>
      <c r="U481" s="46"/>
      <c r="V481" s="46"/>
      <c r="W481" s="46"/>
      <c r="X481" s="46"/>
      <c r="Y481" s="112">
        <f t="shared" si="167"/>
        <v>0</v>
      </c>
      <c r="Z481" s="150">
        <f t="shared" si="168"/>
        <v>0</v>
      </c>
      <c r="AA481" s="150">
        <f t="shared" si="169"/>
        <v>0</v>
      </c>
      <c r="AB481" s="113">
        <f t="shared" si="170"/>
        <v>0</v>
      </c>
      <c r="AC481" s="36"/>
      <c r="AD481" s="272" t="str">
        <f t="shared" si="171"/>
        <v/>
      </c>
      <c r="AE481" s="273">
        <f t="shared" si="172"/>
        <v>0</v>
      </c>
      <c r="AF481" s="273">
        <f t="shared" si="173"/>
        <v>0</v>
      </c>
      <c r="AG481" s="273">
        <f t="shared" si="174"/>
        <v>0</v>
      </c>
      <c r="AH481" s="273">
        <f t="shared" si="175"/>
        <v>0</v>
      </c>
      <c r="AI481" s="273">
        <f t="shared" si="176"/>
        <v>0</v>
      </c>
      <c r="AJ481" s="273">
        <f t="shared" si="177"/>
        <v>0</v>
      </c>
      <c r="AK481" s="273">
        <f t="shared" si="178"/>
        <v>0</v>
      </c>
      <c r="AL481" s="274">
        <f t="shared" si="179"/>
        <v>0</v>
      </c>
      <c r="AN481" s="75" t="str">
        <f t="shared" si="180"/>
        <v>-</v>
      </c>
      <c r="AO481" s="75" t="str">
        <f t="shared" si="181"/>
        <v>-</v>
      </c>
      <c r="AP481" s="48">
        <f t="shared" si="184"/>
        <v>0</v>
      </c>
      <c r="AQ481" s="48">
        <f t="shared" si="182"/>
        <v>0</v>
      </c>
      <c r="AR481" s="49" t="e">
        <f t="shared" si="183"/>
        <v>#N/A</v>
      </c>
    </row>
    <row r="482" spans="1:44" ht="15">
      <c r="A482" s="38"/>
      <c r="B482" s="38"/>
      <c r="C482" s="38"/>
      <c r="D482" s="38"/>
      <c r="E482" s="38"/>
      <c r="F482" s="38"/>
      <c r="G482" s="47">
        <f t="shared" si="165"/>
        <v>6.5978850116714893E-2</v>
      </c>
      <c r="H482" s="44"/>
      <c r="I482" s="44"/>
      <c r="J482" s="45">
        <f t="shared" si="164"/>
        <v>0</v>
      </c>
      <c r="K482" s="38"/>
      <c r="L482" s="38"/>
      <c r="M482" s="38"/>
      <c r="N482" s="34" t="e">
        <f>VLOOKUP(F482,'GHG Emissions Factors'!$B$2:$C$4000,2,FALSE)</f>
        <v>#N/A</v>
      </c>
      <c r="O482" s="45" t="e">
        <f t="shared" si="166"/>
        <v>#N/A</v>
      </c>
      <c r="P482" s="34">
        <f>IF(L482="yes", 0, _xlfn.XLOOKUP(F482, 'GHG Emissions Factors'!$B$2:$B$4000, 'GHG Emissions Factors'!$D$2:$D$4000, 0))</f>
        <v>0</v>
      </c>
      <c r="Q482" s="46"/>
      <c r="R482" s="46"/>
      <c r="S482" s="46">
        <f>ProcurementAllocationData[[#This Row],[Net MWhs Procured]]-(ProcurementAllocationData[[#This Row],[Deep Green]]+ProcurementAllocationData[[#This Row],[LocalSol]]+ProcurementAllocationData[[#This Row],[GreenAccess]])</f>
        <v>0</v>
      </c>
      <c r="T482" s="46"/>
      <c r="U482" s="46"/>
      <c r="V482" s="46"/>
      <c r="W482" s="46"/>
      <c r="X482" s="46"/>
      <c r="Y482" s="112">
        <f t="shared" si="167"/>
        <v>0</v>
      </c>
      <c r="Z482" s="150">
        <f t="shared" si="168"/>
        <v>0</v>
      </c>
      <c r="AA482" s="150">
        <f t="shared" si="169"/>
        <v>0</v>
      </c>
      <c r="AB482" s="113">
        <f t="shared" si="170"/>
        <v>0</v>
      </c>
      <c r="AC482" s="36"/>
      <c r="AD482" s="272" t="str">
        <f t="shared" si="171"/>
        <v/>
      </c>
      <c r="AE482" s="273">
        <f t="shared" si="172"/>
        <v>0</v>
      </c>
      <c r="AF482" s="273">
        <f t="shared" si="173"/>
        <v>0</v>
      </c>
      <c r="AG482" s="273">
        <f t="shared" si="174"/>
        <v>0</v>
      </c>
      <c r="AH482" s="273">
        <f t="shared" si="175"/>
        <v>0</v>
      </c>
      <c r="AI482" s="273">
        <f t="shared" si="176"/>
        <v>0</v>
      </c>
      <c r="AJ482" s="273">
        <f t="shared" si="177"/>
        <v>0</v>
      </c>
      <c r="AK482" s="273">
        <f t="shared" si="178"/>
        <v>0</v>
      </c>
      <c r="AL482" s="274">
        <f t="shared" si="179"/>
        <v>0</v>
      </c>
      <c r="AN482" s="75" t="str">
        <f t="shared" si="180"/>
        <v>-</v>
      </c>
      <c r="AO482" s="75" t="str">
        <f t="shared" si="181"/>
        <v>-</v>
      </c>
      <c r="AP482" s="48">
        <f t="shared" si="184"/>
        <v>0</v>
      </c>
      <c r="AQ482" s="48">
        <f t="shared" si="182"/>
        <v>0</v>
      </c>
      <c r="AR482" s="49" t="e">
        <f t="shared" si="183"/>
        <v>#N/A</v>
      </c>
    </row>
    <row r="483" spans="1:44" ht="15">
      <c r="A483" s="38"/>
      <c r="B483" s="38"/>
      <c r="C483" s="38"/>
      <c r="D483" s="38"/>
      <c r="E483" s="38"/>
      <c r="F483" s="38"/>
      <c r="G483" s="47">
        <f t="shared" si="165"/>
        <v>6.5978850116714893E-2</v>
      </c>
      <c r="H483" s="44"/>
      <c r="I483" s="44"/>
      <c r="J483" s="45">
        <f t="shared" si="164"/>
        <v>0</v>
      </c>
      <c r="K483" s="38"/>
      <c r="L483" s="38"/>
      <c r="M483" s="38"/>
      <c r="N483" s="34" t="e">
        <f>VLOOKUP(F483,'GHG Emissions Factors'!$B$2:$C$4000,2,FALSE)</f>
        <v>#N/A</v>
      </c>
      <c r="O483" s="45" t="e">
        <f t="shared" si="166"/>
        <v>#N/A</v>
      </c>
      <c r="P483" s="34">
        <f>IF(L483="yes", 0, _xlfn.XLOOKUP(F483, 'GHG Emissions Factors'!$B$2:$B$4000, 'GHG Emissions Factors'!$D$2:$D$4000, 0))</f>
        <v>0</v>
      </c>
      <c r="Q483" s="46"/>
      <c r="R483" s="46"/>
      <c r="S483" s="46">
        <f>ProcurementAllocationData[[#This Row],[Net MWhs Procured]]-(ProcurementAllocationData[[#This Row],[Deep Green]]+ProcurementAllocationData[[#This Row],[LocalSol]]+ProcurementAllocationData[[#This Row],[GreenAccess]])</f>
        <v>0</v>
      </c>
      <c r="T483" s="46"/>
      <c r="U483" s="46"/>
      <c r="V483" s="46"/>
      <c r="W483" s="46"/>
      <c r="X483" s="46"/>
      <c r="Y483" s="112">
        <f t="shared" si="167"/>
        <v>0</v>
      </c>
      <c r="Z483" s="150">
        <f t="shared" si="168"/>
        <v>0</v>
      </c>
      <c r="AA483" s="150">
        <f t="shared" si="169"/>
        <v>0</v>
      </c>
      <c r="AB483" s="113">
        <f t="shared" si="170"/>
        <v>0</v>
      </c>
      <c r="AC483" s="36"/>
      <c r="AD483" s="272" t="str">
        <f t="shared" si="171"/>
        <v/>
      </c>
      <c r="AE483" s="273">
        <f t="shared" si="172"/>
        <v>0</v>
      </c>
      <c r="AF483" s="273">
        <f t="shared" si="173"/>
        <v>0</v>
      </c>
      <c r="AG483" s="273">
        <f t="shared" si="174"/>
        <v>0</v>
      </c>
      <c r="AH483" s="273">
        <f t="shared" si="175"/>
        <v>0</v>
      </c>
      <c r="AI483" s="273">
        <f t="shared" si="176"/>
        <v>0</v>
      </c>
      <c r="AJ483" s="273">
        <f t="shared" si="177"/>
        <v>0</v>
      </c>
      <c r="AK483" s="273">
        <f t="shared" si="178"/>
        <v>0</v>
      </c>
      <c r="AL483" s="274">
        <f t="shared" si="179"/>
        <v>0</v>
      </c>
      <c r="AN483" s="75" t="str">
        <f t="shared" si="180"/>
        <v>-</v>
      </c>
      <c r="AO483" s="75" t="str">
        <f t="shared" si="181"/>
        <v>-</v>
      </c>
      <c r="AP483" s="48">
        <f t="shared" si="184"/>
        <v>0</v>
      </c>
      <c r="AQ483" s="48">
        <f t="shared" si="182"/>
        <v>0</v>
      </c>
      <c r="AR483" s="49" t="e">
        <f t="shared" si="183"/>
        <v>#N/A</v>
      </c>
    </row>
    <row r="484" spans="1:44" ht="15">
      <c r="A484" s="38"/>
      <c r="B484" s="38"/>
      <c r="C484" s="38"/>
      <c r="D484" s="38"/>
      <c r="E484" s="38"/>
      <c r="F484" s="38"/>
      <c r="G484" s="47">
        <f t="shared" si="165"/>
        <v>6.5978850116714893E-2</v>
      </c>
      <c r="H484" s="44"/>
      <c r="I484" s="44"/>
      <c r="J484" s="45">
        <f t="shared" si="164"/>
        <v>0</v>
      </c>
      <c r="K484" s="38"/>
      <c r="L484" s="38"/>
      <c r="M484" s="38"/>
      <c r="N484" s="34" t="e">
        <f>VLOOKUP(F484,'GHG Emissions Factors'!$B$2:$C$4000,2,FALSE)</f>
        <v>#N/A</v>
      </c>
      <c r="O484" s="45" t="e">
        <f t="shared" si="166"/>
        <v>#N/A</v>
      </c>
      <c r="P484" s="34">
        <f>IF(L484="yes", 0, _xlfn.XLOOKUP(F484, 'GHG Emissions Factors'!$B$2:$B$4000, 'GHG Emissions Factors'!$D$2:$D$4000, 0))</f>
        <v>0</v>
      </c>
      <c r="Q484" s="46"/>
      <c r="R484" s="46"/>
      <c r="S484" s="46">
        <f>ProcurementAllocationData[[#This Row],[Net MWhs Procured]]-(ProcurementAllocationData[[#This Row],[Deep Green]]+ProcurementAllocationData[[#This Row],[LocalSol]]+ProcurementAllocationData[[#This Row],[GreenAccess]])</f>
        <v>0</v>
      </c>
      <c r="T484" s="46"/>
      <c r="U484" s="46"/>
      <c r="V484" s="46"/>
      <c r="W484" s="46"/>
      <c r="X484" s="46"/>
      <c r="Y484" s="112">
        <f t="shared" si="167"/>
        <v>0</v>
      </c>
      <c r="Z484" s="150">
        <f t="shared" si="168"/>
        <v>0</v>
      </c>
      <c r="AA484" s="150">
        <f t="shared" si="169"/>
        <v>0</v>
      </c>
      <c r="AB484" s="113">
        <f t="shared" si="170"/>
        <v>0</v>
      </c>
      <c r="AC484" s="36"/>
      <c r="AD484" s="272" t="str">
        <f t="shared" si="171"/>
        <v/>
      </c>
      <c r="AE484" s="273">
        <f t="shared" si="172"/>
        <v>0</v>
      </c>
      <c r="AF484" s="273">
        <f t="shared" si="173"/>
        <v>0</v>
      </c>
      <c r="AG484" s="273">
        <f t="shared" si="174"/>
        <v>0</v>
      </c>
      <c r="AH484" s="273">
        <f t="shared" si="175"/>
        <v>0</v>
      </c>
      <c r="AI484" s="273">
        <f t="shared" si="176"/>
        <v>0</v>
      </c>
      <c r="AJ484" s="273">
        <f t="shared" si="177"/>
        <v>0</v>
      </c>
      <c r="AK484" s="273">
        <f t="shared" si="178"/>
        <v>0</v>
      </c>
      <c r="AL484" s="274">
        <f t="shared" si="179"/>
        <v>0</v>
      </c>
      <c r="AN484" s="75" t="str">
        <f t="shared" si="180"/>
        <v>-</v>
      </c>
      <c r="AO484" s="75" t="str">
        <f t="shared" si="181"/>
        <v>-</v>
      </c>
      <c r="AP484" s="48">
        <f t="shared" si="184"/>
        <v>0</v>
      </c>
      <c r="AQ484" s="48">
        <f t="shared" si="182"/>
        <v>0</v>
      </c>
      <c r="AR484" s="49" t="e">
        <f t="shared" si="183"/>
        <v>#N/A</v>
      </c>
    </row>
    <row r="485" spans="1:44" ht="15">
      <c r="A485" s="38"/>
      <c r="B485" s="38"/>
      <c r="C485" s="38"/>
      <c r="D485" s="38"/>
      <c r="E485" s="38"/>
      <c r="F485" s="38"/>
      <c r="G485" s="47">
        <f t="shared" si="165"/>
        <v>6.5978850116714893E-2</v>
      </c>
      <c r="H485" s="44"/>
      <c r="I485" s="44"/>
      <c r="J485" s="45">
        <f t="shared" si="164"/>
        <v>0</v>
      </c>
      <c r="K485" s="38"/>
      <c r="L485" s="38"/>
      <c r="M485" s="38"/>
      <c r="N485" s="34" t="e">
        <f>VLOOKUP(F485,'GHG Emissions Factors'!$B$2:$C$4000,2,FALSE)</f>
        <v>#N/A</v>
      </c>
      <c r="O485" s="45" t="e">
        <f t="shared" si="166"/>
        <v>#N/A</v>
      </c>
      <c r="P485" s="34">
        <f>IF(L485="yes", 0, _xlfn.XLOOKUP(F485, 'GHG Emissions Factors'!$B$2:$B$4000, 'GHG Emissions Factors'!$D$2:$D$4000, 0))</f>
        <v>0</v>
      </c>
      <c r="Q485" s="46"/>
      <c r="R485" s="46"/>
      <c r="S485" s="46">
        <f>ProcurementAllocationData[[#This Row],[Net MWhs Procured]]-(ProcurementAllocationData[[#This Row],[Deep Green]]+ProcurementAllocationData[[#This Row],[LocalSol]]+ProcurementAllocationData[[#This Row],[GreenAccess]])</f>
        <v>0</v>
      </c>
      <c r="T485" s="46"/>
      <c r="U485" s="46"/>
      <c r="V485" s="46"/>
      <c r="W485" s="46"/>
      <c r="X485" s="46"/>
      <c r="Y485" s="112">
        <f t="shared" si="167"/>
        <v>0</v>
      </c>
      <c r="Z485" s="150">
        <f t="shared" si="168"/>
        <v>0</v>
      </c>
      <c r="AA485" s="150">
        <f t="shared" si="169"/>
        <v>0</v>
      </c>
      <c r="AB485" s="113">
        <f t="shared" si="170"/>
        <v>0</v>
      </c>
      <c r="AC485" s="36"/>
      <c r="AD485" s="272" t="str">
        <f t="shared" si="171"/>
        <v/>
      </c>
      <c r="AE485" s="273">
        <f t="shared" si="172"/>
        <v>0</v>
      </c>
      <c r="AF485" s="273">
        <f t="shared" si="173"/>
        <v>0</v>
      </c>
      <c r="AG485" s="273">
        <f t="shared" si="174"/>
        <v>0</v>
      </c>
      <c r="AH485" s="273">
        <f t="shared" si="175"/>
        <v>0</v>
      </c>
      <c r="AI485" s="273">
        <f t="shared" si="176"/>
        <v>0</v>
      </c>
      <c r="AJ485" s="273">
        <f t="shared" si="177"/>
        <v>0</v>
      </c>
      <c r="AK485" s="273">
        <f t="shared" si="178"/>
        <v>0</v>
      </c>
      <c r="AL485" s="274">
        <f t="shared" si="179"/>
        <v>0</v>
      </c>
      <c r="AN485" s="75" t="str">
        <f t="shared" si="180"/>
        <v>-</v>
      </c>
      <c r="AO485" s="75" t="str">
        <f t="shared" si="181"/>
        <v>-</v>
      </c>
      <c r="AP485" s="48">
        <f t="shared" si="184"/>
        <v>0</v>
      </c>
      <c r="AQ485" s="48">
        <f t="shared" si="182"/>
        <v>0</v>
      </c>
      <c r="AR485" s="49" t="e">
        <f t="shared" si="183"/>
        <v>#N/A</v>
      </c>
    </row>
    <row r="486" spans="1:44" ht="15">
      <c r="A486" s="38"/>
      <c r="B486" s="38"/>
      <c r="C486" s="38"/>
      <c r="D486" s="38"/>
      <c r="E486" s="38"/>
      <c r="F486" s="38"/>
      <c r="G486" s="47">
        <f t="shared" si="165"/>
        <v>6.5978850116714893E-2</v>
      </c>
      <c r="H486" s="44"/>
      <c r="I486" s="44"/>
      <c r="J486" s="45">
        <f t="shared" si="164"/>
        <v>0</v>
      </c>
      <c r="K486" s="38"/>
      <c r="L486" s="38"/>
      <c r="M486" s="38"/>
      <c r="N486" s="34" t="e">
        <f>VLOOKUP(F486,'GHG Emissions Factors'!$B$2:$C$4000,2,FALSE)</f>
        <v>#N/A</v>
      </c>
      <c r="O486" s="45" t="e">
        <f t="shared" si="166"/>
        <v>#N/A</v>
      </c>
      <c r="P486" s="34">
        <f>IF(L486="yes", 0, _xlfn.XLOOKUP(F486, 'GHG Emissions Factors'!$B$2:$B$4000, 'GHG Emissions Factors'!$D$2:$D$4000, 0))</f>
        <v>0</v>
      </c>
      <c r="Q486" s="46"/>
      <c r="R486" s="46"/>
      <c r="S486" s="46">
        <f>ProcurementAllocationData[[#This Row],[Net MWhs Procured]]-(ProcurementAllocationData[[#This Row],[Deep Green]]+ProcurementAllocationData[[#This Row],[LocalSol]]+ProcurementAllocationData[[#This Row],[GreenAccess]])</f>
        <v>0</v>
      </c>
      <c r="T486" s="46"/>
      <c r="U486" s="46"/>
      <c r="V486" s="46"/>
      <c r="W486" s="46"/>
      <c r="X486" s="46"/>
      <c r="Y486" s="112">
        <f t="shared" si="167"/>
        <v>0</v>
      </c>
      <c r="Z486" s="150">
        <f t="shared" si="168"/>
        <v>0</v>
      </c>
      <c r="AA486" s="150">
        <f t="shared" si="169"/>
        <v>0</v>
      </c>
      <c r="AB486" s="113">
        <f t="shared" si="170"/>
        <v>0</v>
      </c>
      <c r="AC486" s="36"/>
      <c r="AD486" s="272" t="str">
        <f t="shared" si="171"/>
        <v/>
      </c>
      <c r="AE486" s="273">
        <f t="shared" si="172"/>
        <v>0</v>
      </c>
      <c r="AF486" s="273">
        <f t="shared" si="173"/>
        <v>0</v>
      </c>
      <c r="AG486" s="273">
        <f t="shared" si="174"/>
        <v>0</v>
      </c>
      <c r="AH486" s="273">
        <f t="shared" si="175"/>
        <v>0</v>
      </c>
      <c r="AI486" s="273">
        <f t="shared" si="176"/>
        <v>0</v>
      </c>
      <c r="AJ486" s="273">
        <f t="shared" si="177"/>
        <v>0</v>
      </c>
      <c r="AK486" s="273">
        <f t="shared" si="178"/>
        <v>0</v>
      </c>
      <c r="AL486" s="274">
        <f t="shared" si="179"/>
        <v>0</v>
      </c>
      <c r="AN486" s="75" t="str">
        <f t="shared" si="180"/>
        <v>-</v>
      </c>
      <c r="AO486" s="75" t="str">
        <f t="shared" si="181"/>
        <v>-</v>
      </c>
      <c r="AP486" s="48">
        <f t="shared" si="184"/>
        <v>0</v>
      </c>
      <c r="AQ486" s="48">
        <f t="shared" si="182"/>
        <v>0</v>
      </c>
      <c r="AR486" s="49" t="e">
        <f t="shared" si="183"/>
        <v>#N/A</v>
      </c>
    </row>
    <row r="487" spans="1:44" ht="15">
      <c r="A487" s="38"/>
      <c r="B487" s="38"/>
      <c r="C487" s="38"/>
      <c r="D487" s="38"/>
      <c r="E487" s="38"/>
      <c r="F487" s="38"/>
      <c r="G487" s="47">
        <f t="shared" si="165"/>
        <v>6.5978850116714893E-2</v>
      </c>
      <c r="H487" s="44"/>
      <c r="I487" s="44"/>
      <c r="J487" s="45">
        <f t="shared" si="164"/>
        <v>0</v>
      </c>
      <c r="K487" s="38"/>
      <c r="L487" s="38"/>
      <c r="M487" s="38"/>
      <c r="N487" s="34" t="e">
        <f>VLOOKUP(F487,'GHG Emissions Factors'!$B$2:$C$4000,2,FALSE)</f>
        <v>#N/A</v>
      </c>
      <c r="O487" s="45" t="e">
        <f t="shared" si="166"/>
        <v>#N/A</v>
      </c>
      <c r="P487" s="34">
        <f>IF(L487="yes", 0, _xlfn.XLOOKUP(F487, 'GHG Emissions Factors'!$B$2:$B$4000, 'GHG Emissions Factors'!$D$2:$D$4000, 0))</f>
        <v>0</v>
      </c>
      <c r="Q487" s="46"/>
      <c r="R487" s="46"/>
      <c r="S487" s="46">
        <f>ProcurementAllocationData[[#This Row],[Net MWhs Procured]]-(ProcurementAllocationData[[#This Row],[Deep Green]]+ProcurementAllocationData[[#This Row],[LocalSol]]+ProcurementAllocationData[[#This Row],[GreenAccess]])</f>
        <v>0</v>
      </c>
      <c r="T487" s="46"/>
      <c r="U487" s="46"/>
      <c r="V487" s="46"/>
      <c r="W487" s="46"/>
      <c r="X487" s="46"/>
      <c r="Y487" s="112">
        <f t="shared" si="167"/>
        <v>0</v>
      </c>
      <c r="Z487" s="150">
        <f t="shared" si="168"/>
        <v>0</v>
      </c>
      <c r="AA487" s="150">
        <f t="shared" si="169"/>
        <v>0</v>
      </c>
      <c r="AB487" s="113">
        <f t="shared" si="170"/>
        <v>0</v>
      </c>
      <c r="AC487" s="36"/>
      <c r="AD487" s="272" t="str">
        <f t="shared" si="171"/>
        <v/>
      </c>
      <c r="AE487" s="273">
        <f t="shared" si="172"/>
        <v>0</v>
      </c>
      <c r="AF487" s="273">
        <f t="shared" si="173"/>
        <v>0</v>
      </c>
      <c r="AG487" s="273">
        <f t="shared" si="174"/>
        <v>0</v>
      </c>
      <c r="AH487" s="273">
        <f t="shared" si="175"/>
        <v>0</v>
      </c>
      <c r="AI487" s="273">
        <f t="shared" si="176"/>
        <v>0</v>
      </c>
      <c r="AJ487" s="273">
        <f t="shared" si="177"/>
        <v>0</v>
      </c>
      <c r="AK487" s="273">
        <f t="shared" si="178"/>
        <v>0</v>
      </c>
      <c r="AL487" s="274">
        <f t="shared" si="179"/>
        <v>0</v>
      </c>
      <c r="AN487" s="75" t="str">
        <f t="shared" si="180"/>
        <v>-</v>
      </c>
      <c r="AO487" s="75" t="str">
        <f t="shared" si="181"/>
        <v>-</v>
      </c>
      <c r="AP487" s="48">
        <f t="shared" si="184"/>
        <v>0</v>
      </c>
      <c r="AQ487" s="48">
        <f t="shared" si="182"/>
        <v>0</v>
      </c>
      <c r="AR487" s="49" t="e">
        <f t="shared" si="183"/>
        <v>#N/A</v>
      </c>
    </row>
    <row r="488" spans="1:44" ht="15">
      <c r="A488" s="38"/>
      <c r="B488" s="38"/>
      <c r="C488" s="38"/>
      <c r="D488" s="38"/>
      <c r="E488" s="38"/>
      <c r="F488" s="38"/>
      <c r="G488" s="47">
        <f t="shared" si="165"/>
        <v>6.5978850116714893E-2</v>
      </c>
      <c r="H488" s="44"/>
      <c r="I488" s="44"/>
      <c r="J488" s="45">
        <f t="shared" si="164"/>
        <v>0</v>
      </c>
      <c r="K488" s="38"/>
      <c r="L488" s="38"/>
      <c r="M488" s="38"/>
      <c r="N488" s="34" t="e">
        <f>VLOOKUP(F488,'GHG Emissions Factors'!$B$2:$C$4000,2,FALSE)</f>
        <v>#N/A</v>
      </c>
      <c r="O488" s="45" t="e">
        <f t="shared" si="166"/>
        <v>#N/A</v>
      </c>
      <c r="P488" s="34">
        <f>IF(L488="yes", 0, _xlfn.XLOOKUP(F488, 'GHG Emissions Factors'!$B$2:$B$4000, 'GHG Emissions Factors'!$D$2:$D$4000, 0))</f>
        <v>0</v>
      </c>
      <c r="Q488" s="46"/>
      <c r="R488" s="46"/>
      <c r="S488" s="46">
        <f>ProcurementAllocationData[[#This Row],[Net MWhs Procured]]-(ProcurementAllocationData[[#This Row],[Deep Green]]+ProcurementAllocationData[[#This Row],[LocalSol]]+ProcurementAllocationData[[#This Row],[GreenAccess]])</f>
        <v>0</v>
      </c>
      <c r="T488" s="46"/>
      <c r="U488" s="46"/>
      <c r="V488" s="46"/>
      <c r="W488" s="46"/>
      <c r="X488" s="46"/>
      <c r="Y488" s="112">
        <f t="shared" si="167"/>
        <v>0</v>
      </c>
      <c r="Z488" s="150">
        <f t="shared" si="168"/>
        <v>0</v>
      </c>
      <c r="AA488" s="150">
        <f t="shared" si="169"/>
        <v>0</v>
      </c>
      <c r="AB488" s="113">
        <f t="shared" si="170"/>
        <v>0</v>
      </c>
      <c r="AC488" s="36"/>
      <c r="AD488" s="272" t="str">
        <f t="shared" si="171"/>
        <v/>
      </c>
      <c r="AE488" s="273">
        <f t="shared" si="172"/>
        <v>0</v>
      </c>
      <c r="AF488" s="273">
        <f t="shared" si="173"/>
        <v>0</v>
      </c>
      <c r="AG488" s="273">
        <f t="shared" si="174"/>
        <v>0</v>
      </c>
      <c r="AH488" s="273">
        <f t="shared" si="175"/>
        <v>0</v>
      </c>
      <c r="AI488" s="273">
        <f t="shared" si="176"/>
        <v>0</v>
      </c>
      <c r="AJ488" s="273">
        <f t="shared" si="177"/>
        <v>0</v>
      </c>
      <c r="AK488" s="273">
        <f t="shared" si="178"/>
        <v>0</v>
      </c>
      <c r="AL488" s="274">
        <f t="shared" si="179"/>
        <v>0</v>
      </c>
      <c r="AN488" s="75" t="str">
        <f t="shared" si="180"/>
        <v>-</v>
      </c>
      <c r="AO488" s="75" t="str">
        <f t="shared" si="181"/>
        <v>-</v>
      </c>
      <c r="AP488" s="48">
        <f t="shared" si="184"/>
        <v>0</v>
      </c>
      <c r="AQ488" s="48">
        <f t="shared" si="182"/>
        <v>0</v>
      </c>
      <c r="AR488" s="49" t="e">
        <f t="shared" si="183"/>
        <v>#N/A</v>
      </c>
    </row>
    <row r="489" spans="1:44" ht="15">
      <c r="A489" s="38"/>
      <c r="B489" s="38"/>
      <c r="C489" s="38"/>
      <c r="D489" s="38"/>
      <c r="E489" s="38"/>
      <c r="F489" s="38"/>
      <c r="G489" s="47">
        <f t="shared" si="165"/>
        <v>6.5978850116714893E-2</v>
      </c>
      <c r="H489" s="44"/>
      <c r="I489" s="44"/>
      <c r="J489" s="45">
        <f t="shared" si="164"/>
        <v>0</v>
      </c>
      <c r="K489" s="38"/>
      <c r="L489" s="38"/>
      <c r="M489" s="38"/>
      <c r="N489" s="34" t="e">
        <f>VLOOKUP(F489,'GHG Emissions Factors'!$B$2:$C$4000,2,FALSE)</f>
        <v>#N/A</v>
      </c>
      <c r="O489" s="45" t="e">
        <f t="shared" si="166"/>
        <v>#N/A</v>
      </c>
      <c r="P489" s="34">
        <f>IF(L489="yes", 0, _xlfn.XLOOKUP(F489, 'GHG Emissions Factors'!$B$2:$B$4000, 'GHG Emissions Factors'!$D$2:$D$4000, 0))</f>
        <v>0</v>
      </c>
      <c r="Q489" s="46"/>
      <c r="R489" s="46"/>
      <c r="S489" s="46">
        <f>ProcurementAllocationData[[#This Row],[Net MWhs Procured]]-(ProcurementAllocationData[[#This Row],[Deep Green]]+ProcurementAllocationData[[#This Row],[LocalSol]]+ProcurementAllocationData[[#This Row],[GreenAccess]])</f>
        <v>0</v>
      </c>
      <c r="T489" s="46"/>
      <c r="U489" s="46"/>
      <c r="V489" s="46"/>
      <c r="W489" s="46"/>
      <c r="X489" s="46"/>
      <c r="Y489" s="112">
        <f t="shared" si="167"/>
        <v>0</v>
      </c>
      <c r="Z489" s="150">
        <f t="shared" si="168"/>
        <v>0</v>
      </c>
      <c r="AA489" s="150">
        <f t="shared" si="169"/>
        <v>0</v>
      </c>
      <c r="AB489" s="113">
        <f t="shared" si="170"/>
        <v>0</v>
      </c>
      <c r="AC489" s="36"/>
      <c r="AD489" s="272" t="str">
        <f t="shared" si="171"/>
        <v/>
      </c>
      <c r="AE489" s="273">
        <f t="shared" si="172"/>
        <v>0</v>
      </c>
      <c r="AF489" s="273">
        <f t="shared" si="173"/>
        <v>0</v>
      </c>
      <c r="AG489" s="273">
        <f t="shared" si="174"/>
        <v>0</v>
      </c>
      <c r="AH489" s="273">
        <f t="shared" si="175"/>
        <v>0</v>
      </c>
      <c r="AI489" s="273">
        <f t="shared" si="176"/>
        <v>0</v>
      </c>
      <c r="AJ489" s="273">
        <f t="shared" si="177"/>
        <v>0</v>
      </c>
      <c r="AK489" s="273">
        <f t="shared" si="178"/>
        <v>0</v>
      </c>
      <c r="AL489" s="274">
        <f t="shared" si="179"/>
        <v>0</v>
      </c>
      <c r="AN489" s="75" t="str">
        <f t="shared" si="180"/>
        <v>-</v>
      </c>
      <c r="AO489" s="75" t="str">
        <f t="shared" si="181"/>
        <v>-</v>
      </c>
      <c r="AP489" s="48">
        <f t="shared" si="184"/>
        <v>0</v>
      </c>
      <c r="AQ489" s="48">
        <f t="shared" si="182"/>
        <v>0</v>
      </c>
      <c r="AR489" s="49" t="e">
        <f t="shared" si="183"/>
        <v>#N/A</v>
      </c>
    </row>
    <row r="490" spans="1:44" ht="15">
      <c r="A490" s="38"/>
      <c r="B490" s="38"/>
      <c r="C490" s="38"/>
      <c r="D490" s="38"/>
      <c r="E490" s="38"/>
      <c r="F490" s="38"/>
      <c r="G490" s="47">
        <f t="shared" si="165"/>
        <v>6.5978850116714893E-2</v>
      </c>
      <c r="H490" s="44"/>
      <c r="I490" s="44"/>
      <c r="J490" s="45">
        <f t="shared" si="164"/>
        <v>0</v>
      </c>
      <c r="K490" s="38"/>
      <c r="L490" s="38"/>
      <c r="M490" s="38"/>
      <c r="N490" s="34" t="e">
        <f>VLOOKUP(F490,'GHG Emissions Factors'!$B$2:$C$4000,2,FALSE)</f>
        <v>#N/A</v>
      </c>
      <c r="O490" s="45" t="e">
        <f t="shared" si="166"/>
        <v>#N/A</v>
      </c>
      <c r="P490" s="34">
        <f>IF(L490="yes", 0, _xlfn.XLOOKUP(F490, 'GHG Emissions Factors'!$B$2:$B$4000, 'GHG Emissions Factors'!$D$2:$D$4000, 0))</f>
        <v>0</v>
      </c>
      <c r="Q490" s="46"/>
      <c r="R490" s="46"/>
      <c r="S490" s="46">
        <f>ProcurementAllocationData[[#This Row],[Net MWhs Procured]]-(ProcurementAllocationData[[#This Row],[Deep Green]]+ProcurementAllocationData[[#This Row],[LocalSol]]+ProcurementAllocationData[[#This Row],[GreenAccess]])</f>
        <v>0</v>
      </c>
      <c r="T490" s="46"/>
      <c r="U490" s="46"/>
      <c r="V490" s="46"/>
      <c r="W490" s="46"/>
      <c r="X490" s="46"/>
      <c r="Y490" s="112">
        <f t="shared" si="167"/>
        <v>0</v>
      </c>
      <c r="Z490" s="150">
        <f t="shared" si="168"/>
        <v>0</v>
      </c>
      <c r="AA490" s="150">
        <f t="shared" si="169"/>
        <v>0</v>
      </c>
      <c r="AB490" s="113">
        <f t="shared" si="170"/>
        <v>0</v>
      </c>
      <c r="AC490" s="36"/>
      <c r="AD490" s="272" t="str">
        <f t="shared" si="171"/>
        <v/>
      </c>
      <c r="AE490" s="273">
        <f t="shared" si="172"/>
        <v>0</v>
      </c>
      <c r="AF490" s="273">
        <f t="shared" si="173"/>
        <v>0</v>
      </c>
      <c r="AG490" s="273">
        <f t="shared" si="174"/>
        <v>0</v>
      </c>
      <c r="AH490" s="273">
        <f t="shared" si="175"/>
        <v>0</v>
      </c>
      <c r="AI490" s="273">
        <f t="shared" si="176"/>
        <v>0</v>
      </c>
      <c r="AJ490" s="273">
        <f t="shared" si="177"/>
        <v>0</v>
      </c>
      <c r="AK490" s="273">
        <f t="shared" si="178"/>
        <v>0</v>
      </c>
      <c r="AL490" s="274">
        <f t="shared" si="179"/>
        <v>0</v>
      </c>
      <c r="AN490" s="75" t="str">
        <f t="shared" si="180"/>
        <v>-</v>
      </c>
      <c r="AO490" s="75" t="str">
        <f t="shared" si="181"/>
        <v>-</v>
      </c>
      <c r="AP490" s="48">
        <f t="shared" si="184"/>
        <v>0</v>
      </c>
      <c r="AQ490" s="48">
        <f t="shared" si="182"/>
        <v>0</v>
      </c>
      <c r="AR490" s="49" t="e">
        <f t="shared" si="183"/>
        <v>#N/A</v>
      </c>
    </row>
    <row r="491" spans="1:44" ht="15">
      <c r="A491" s="38"/>
      <c r="B491" s="38"/>
      <c r="C491" s="38"/>
      <c r="D491" s="38"/>
      <c r="E491" s="38"/>
      <c r="F491" s="38"/>
      <c r="G491" s="47">
        <f t="shared" si="165"/>
        <v>6.5978850116714893E-2</v>
      </c>
      <c r="H491" s="44"/>
      <c r="I491" s="44"/>
      <c r="J491" s="45">
        <f t="shared" si="164"/>
        <v>0</v>
      </c>
      <c r="K491" s="38"/>
      <c r="L491" s="38"/>
      <c r="M491" s="38"/>
      <c r="N491" s="34" t="e">
        <f>VLOOKUP(F491,'GHG Emissions Factors'!$B$2:$C$4000,2,FALSE)</f>
        <v>#N/A</v>
      </c>
      <c r="O491" s="45" t="e">
        <f t="shared" si="166"/>
        <v>#N/A</v>
      </c>
      <c r="P491" s="34">
        <f>IF(L491="yes", 0, _xlfn.XLOOKUP(F491, 'GHG Emissions Factors'!$B$2:$B$4000, 'GHG Emissions Factors'!$D$2:$D$4000, 0))</f>
        <v>0</v>
      </c>
      <c r="Q491" s="46"/>
      <c r="R491" s="46"/>
      <c r="S491" s="46">
        <f>ProcurementAllocationData[[#This Row],[Net MWhs Procured]]-(ProcurementAllocationData[[#This Row],[Deep Green]]+ProcurementAllocationData[[#This Row],[LocalSol]]+ProcurementAllocationData[[#This Row],[GreenAccess]])</f>
        <v>0</v>
      </c>
      <c r="T491" s="46"/>
      <c r="U491" s="46"/>
      <c r="V491" s="46"/>
      <c r="W491" s="46"/>
      <c r="X491" s="46"/>
      <c r="Y491" s="112">
        <f t="shared" si="167"/>
        <v>0</v>
      </c>
      <c r="Z491" s="150">
        <f t="shared" si="168"/>
        <v>0</v>
      </c>
      <c r="AA491" s="150">
        <f t="shared" si="169"/>
        <v>0</v>
      </c>
      <c r="AB491" s="113">
        <f t="shared" si="170"/>
        <v>0</v>
      </c>
      <c r="AC491" s="36"/>
      <c r="AD491" s="272" t="str">
        <f t="shared" si="171"/>
        <v/>
      </c>
      <c r="AE491" s="273">
        <f t="shared" si="172"/>
        <v>0</v>
      </c>
      <c r="AF491" s="273">
        <f t="shared" si="173"/>
        <v>0</v>
      </c>
      <c r="AG491" s="273">
        <f t="shared" si="174"/>
        <v>0</v>
      </c>
      <c r="AH491" s="273">
        <f t="shared" si="175"/>
        <v>0</v>
      </c>
      <c r="AI491" s="273">
        <f t="shared" si="176"/>
        <v>0</v>
      </c>
      <c r="AJ491" s="273">
        <f t="shared" si="177"/>
        <v>0</v>
      </c>
      <c r="AK491" s="273">
        <f t="shared" si="178"/>
        <v>0</v>
      </c>
      <c r="AL491" s="274">
        <f t="shared" si="179"/>
        <v>0</v>
      </c>
      <c r="AN491" s="75" t="str">
        <f t="shared" si="180"/>
        <v>-</v>
      </c>
      <c r="AO491" s="75" t="str">
        <f t="shared" si="181"/>
        <v>-</v>
      </c>
      <c r="AP491" s="48">
        <f t="shared" si="184"/>
        <v>0</v>
      </c>
      <c r="AQ491" s="48">
        <f t="shared" si="182"/>
        <v>0</v>
      </c>
      <c r="AR491" s="49" t="e">
        <f t="shared" si="183"/>
        <v>#N/A</v>
      </c>
    </row>
    <row r="492" spans="1:44" ht="15">
      <c r="A492" s="38"/>
      <c r="B492" s="38"/>
      <c r="C492" s="38"/>
      <c r="D492" s="38"/>
      <c r="E492" s="38"/>
      <c r="F492" s="38"/>
      <c r="G492" s="47">
        <f t="shared" si="165"/>
        <v>6.5978850116714893E-2</v>
      </c>
      <c r="H492" s="44"/>
      <c r="I492" s="44"/>
      <c r="J492" s="45">
        <f t="shared" si="164"/>
        <v>0</v>
      </c>
      <c r="K492" s="38"/>
      <c r="L492" s="38"/>
      <c r="M492" s="38"/>
      <c r="N492" s="34" t="e">
        <f>VLOOKUP(F492,'GHG Emissions Factors'!$B$2:$C$4000,2,FALSE)</f>
        <v>#N/A</v>
      </c>
      <c r="O492" s="45" t="e">
        <f t="shared" si="166"/>
        <v>#N/A</v>
      </c>
      <c r="P492" s="34">
        <f>IF(L492="yes", 0, _xlfn.XLOOKUP(F492, 'GHG Emissions Factors'!$B$2:$B$4000, 'GHG Emissions Factors'!$D$2:$D$4000, 0))</f>
        <v>0</v>
      </c>
      <c r="Q492" s="46"/>
      <c r="R492" s="46"/>
      <c r="S492" s="46">
        <f>ProcurementAllocationData[[#This Row],[Net MWhs Procured]]-(ProcurementAllocationData[[#This Row],[Deep Green]]+ProcurementAllocationData[[#This Row],[LocalSol]]+ProcurementAllocationData[[#This Row],[GreenAccess]])</f>
        <v>0</v>
      </c>
      <c r="T492" s="46"/>
      <c r="U492" s="46"/>
      <c r="V492" s="46"/>
      <c r="W492" s="46"/>
      <c r="X492" s="46"/>
      <c r="Y492" s="112">
        <f t="shared" si="167"/>
        <v>0</v>
      </c>
      <c r="Z492" s="150">
        <f t="shared" si="168"/>
        <v>0</v>
      </c>
      <c r="AA492" s="150">
        <f t="shared" si="169"/>
        <v>0</v>
      </c>
      <c r="AB492" s="113">
        <f t="shared" si="170"/>
        <v>0</v>
      </c>
      <c r="AC492" s="36"/>
      <c r="AD492" s="272" t="str">
        <f t="shared" si="171"/>
        <v/>
      </c>
      <c r="AE492" s="273">
        <f t="shared" si="172"/>
        <v>0</v>
      </c>
      <c r="AF492" s="273">
        <f t="shared" si="173"/>
        <v>0</v>
      </c>
      <c r="AG492" s="273">
        <f t="shared" si="174"/>
        <v>0</v>
      </c>
      <c r="AH492" s="273">
        <f t="shared" si="175"/>
        <v>0</v>
      </c>
      <c r="AI492" s="273">
        <f t="shared" si="176"/>
        <v>0</v>
      </c>
      <c r="AJ492" s="273">
        <f t="shared" si="177"/>
        <v>0</v>
      </c>
      <c r="AK492" s="273">
        <f t="shared" si="178"/>
        <v>0</v>
      </c>
      <c r="AL492" s="274">
        <f t="shared" si="179"/>
        <v>0</v>
      </c>
      <c r="AN492" s="75" t="str">
        <f t="shared" si="180"/>
        <v>-</v>
      </c>
      <c r="AO492" s="75" t="str">
        <f t="shared" si="181"/>
        <v>-</v>
      </c>
      <c r="AP492" s="48">
        <f t="shared" si="184"/>
        <v>0</v>
      </c>
      <c r="AQ492" s="48">
        <f t="shared" si="182"/>
        <v>0</v>
      </c>
      <c r="AR492" s="49" t="e">
        <f t="shared" si="183"/>
        <v>#N/A</v>
      </c>
    </row>
    <row r="493" spans="1:44" ht="15">
      <c r="A493" s="38"/>
      <c r="B493" s="38"/>
      <c r="C493" s="38"/>
      <c r="D493" s="38"/>
      <c r="E493" s="38"/>
      <c r="F493" s="38"/>
      <c r="G493" s="47">
        <f t="shared" si="165"/>
        <v>6.5978850116714893E-2</v>
      </c>
      <c r="H493" s="44"/>
      <c r="I493" s="44"/>
      <c r="J493" s="45">
        <f t="shared" si="164"/>
        <v>0</v>
      </c>
      <c r="K493" s="38"/>
      <c r="L493" s="38"/>
      <c r="M493" s="38"/>
      <c r="N493" s="34" t="e">
        <f>VLOOKUP(F493,'GHG Emissions Factors'!$B$2:$C$4000,2,FALSE)</f>
        <v>#N/A</v>
      </c>
      <c r="O493" s="45" t="e">
        <f t="shared" si="166"/>
        <v>#N/A</v>
      </c>
      <c r="P493" s="34">
        <f>IF(L493="yes", 0, _xlfn.XLOOKUP(F493, 'GHG Emissions Factors'!$B$2:$B$4000, 'GHG Emissions Factors'!$D$2:$D$4000, 0))</f>
        <v>0</v>
      </c>
      <c r="Q493" s="46"/>
      <c r="R493" s="46"/>
      <c r="S493" s="46">
        <f>ProcurementAllocationData[[#This Row],[Net MWhs Procured]]-(ProcurementAllocationData[[#This Row],[Deep Green]]+ProcurementAllocationData[[#This Row],[LocalSol]]+ProcurementAllocationData[[#This Row],[GreenAccess]])</f>
        <v>0</v>
      </c>
      <c r="T493" s="46"/>
      <c r="U493" s="46"/>
      <c r="V493" s="46"/>
      <c r="W493" s="46"/>
      <c r="X493" s="46"/>
      <c r="Y493" s="112">
        <f t="shared" si="167"/>
        <v>0</v>
      </c>
      <c r="Z493" s="150">
        <f t="shared" si="168"/>
        <v>0</v>
      </c>
      <c r="AA493" s="150">
        <f t="shared" si="169"/>
        <v>0</v>
      </c>
      <c r="AB493" s="113">
        <f t="shared" si="170"/>
        <v>0</v>
      </c>
      <c r="AC493" s="36"/>
      <c r="AD493" s="272" t="str">
        <f t="shared" si="171"/>
        <v/>
      </c>
      <c r="AE493" s="273">
        <f t="shared" si="172"/>
        <v>0</v>
      </c>
      <c r="AF493" s="273">
        <f t="shared" si="173"/>
        <v>0</v>
      </c>
      <c r="AG493" s="273">
        <f t="shared" si="174"/>
        <v>0</v>
      </c>
      <c r="AH493" s="273">
        <f t="shared" si="175"/>
        <v>0</v>
      </c>
      <c r="AI493" s="273">
        <f t="shared" si="176"/>
        <v>0</v>
      </c>
      <c r="AJ493" s="273">
        <f t="shared" si="177"/>
        <v>0</v>
      </c>
      <c r="AK493" s="273">
        <f t="shared" si="178"/>
        <v>0</v>
      </c>
      <c r="AL493" s="274">
        <f t="shared" si="179"/>
        <v>0</v>
      </c>
      <c r="AN493" s="75" t="str">
        <f t="shared" si="180"/>
        <v>-</v>
      </c>
      <c r="AO493" s="75" t="str">
        <f t="shared" si="181"/>
        <v>-</v>
      </c>
      <c r="AP493" s="48">
        <f t="shared" si="184"/>
        <v>0</v>
      </c>
      <c r="AQ493" s="48">
        <f t="shared" si="182"/>
        <v>0</v>
      </c>
      <c r="AR493" s="49" t="e">
        <f t="shared" si="183"/>
        <v>#N/A</v>
      </c>
    </row>
    <row r="494" spans="1:44" ht="15">
      <c r="A494" s="38"/>
      <c r="B494" s="38"/>
      <c r="C494" s="38"/>
      <c r="D494" s="38"/>
      <c r="E494" s="38"/>
      <c r="F494" s="38"/>
      <c r="G494" s="47">
        <f t="shared" si="165"/>
        <v>6.5978850116714893E-2</v>
      </c>
      <c r="H494" s="44"/>
      <c r="I494" s="44"/>
      <c r="J494" s="45">
        <f t="shared" si="164"/>
        <v>0</v>
      </c>
      <c r="K494" s="38"/>
      <c r="L494" s="38"/>
      <c r="M494" s="38"/>
      <c r="N494" s="34" t="e">
        <f>VLOOKUP(F494,'GHG Emissions Factors'!$B$2:$C$4000,2,FALSE)</f>
        <v>#N/A</v>
      </c>
      <c r="O494" s="45" t="e">
        <f t="shared" si="166"/>
        <v>#N/A</v>
      </c>
      <c r="P494" s="34">
        <f>IF(L494="yes", 0, _xlfn.XLOOKUP(F494, 'GHG Emissions Factors'!$B$2:$B$4000, 'GHG Emissions Factors'!$D$2:$D$4000, 0))</f>
        <v>0</v>
      </c>
      <c r="Q494" s="46"/>
      <c r="R494" s="46"/>
      <c r="S494" s="46">
        <f>ProcurementAllocationData[[#This Row],[Net MWhs Procured]]-(ProcurementAllocationData[[#This Row],[Deep Green]]+ProcurementAllocationData[[#This Row],[LocalSol]]+ProcurementAllocationData[[#This Row],[GreenAccess]])</f>
        <v>0</v>
      </c>
      <c r="T494" s="46"/>
      <c r="U494" s="46"/>
      <c r="V494" s="46"/>
      <c r="W494" s="46"/>
      <c r="X494" s="46"/>
      <c r="Y494" s="112">
        <f t="shared" si="167"/>
        <v>0</v>
      </c>
      <c r="Z494" s="150">
        <f t="shared" si="168"/>
        <v>0</v>
      </c>
      <c r="AA494" s="150">
        <f t="shared" si="169"/>
        <v>0</v>
      </c>
      <c r="AB494" s="113">
        <f t="shared" si="170"/>
        <v>0</v>
      </c>
      <c r="AC494" s="36"/>
      <c r="AD494" s="272" t="str">
        <f t="shared" si="171"/>
        <v/>
      </c>
      <c r="AE494" s="273">
        <f t="shared" si="172"/>
        <v>0</v>
      </c>
      <c r="AF494" s="273">
        <f t="shared" si="173"/>
        <v>0</v>
      </c>
      <c r="AG494" s="273">
        <f t="shared" si="174"/>
        <v>0</v>
      </c>
      <c r="AH494" s="273">
        <f t="shared" si="175"/>
        <v>0</v>
      </c>
      <c r="AI494" s="273">
        <f t="shared" si="176"/>
        <v>0</v>
      </c>
      <c r="AJ494" s="273">
        <f t="shared" si="177"/>
        <v>0</v>
      </c>
      <c r="AK494" s="273">
        <f t="shared" si="178"/>
        <v>0</v>
      </c>
      <c r="AL494" s="274">
        <f t="shared" si="179"/>
        <v>0</v>
      </c>
      <c r="AN494" s="75" t="str">
        <f t="shared" si="180"/>
        <v>-</v>
      </c>
      <c r="AO494" s="75" t="str">
        <f t="shared" si="181"/>
        <v>-</v>
      </c>
      <c r="AP494" s="48">
        <f t="shared" si="184"/>
        <v>0</v>
      </c>
      <c r="AQ494" s="48">
        <f t="shared" si="182"/>
        <v>0</v>
      </c>
      <c r="AR494" s="49" t="e">
        <f t="shared" si="183"/>
        <v>#N/A</v>
      </c>
    </row>
    <row r="495" spans="1:44" ht="15">
      <c r="A495" s="38"/>
      <c r="B495" s="38"/>
      <c r="C495" s="38"/>
      <c r="D495" s="38"/>
      <c r="E495" s="38"/>
      <c r="F495" s="38"/>
      <c r="G495" s="47">
        <f t="shared" si="165"/>
        <v>6.5978850116714893E-2</v>
      </c>
      <c r="H495" s="44"/>
      <c r="I495" s="44"/>
      <c r="J495" s="45">
        <f t="shared" si="164"/>
        <v>0</v>
      </c>
      <c r="K495" s="38"/>
      <c r="L495" s="38"/>
      <c r="M495" s="38"/>
      <c r="N495" s="34" t="e">
        <f>VLOOKUP(F495,'GHG Emissions Factors'!$B$2:$C$4000,2,FALSE)</f>
        <v>#N/A</v>
      </c>
      <c r="O495" s="45" t="e">
        <f t="shared" si="166"/>
        <v>#N/A</v>
      </c>
      <c r="P495" s="34">
        <f>IF(L495="yes", 0, _xlfn.XLOOKUP(F495, 'GHG Emissions Factors'!$B$2:$B$4000, 'GHG Emissions Factors'!$D$2:$D$4000, 0))</f>
        <v>0</v>
      </c>
      <c r="Q495" s="46"/>
      <c r="R495" s="46"/>
      <c r="S495" s="46">
        <f>ProcurementAllocationData[[#This Row],[Net MWhs Procured]]-(ProcurementAllocationData[[#This Row],[Deep Green]]+ProcurementAllocationData[[#This Row],[LocalSol]]+ProcurementAllocationData[[#This Row],[GreenAccess]])</f>
        <v>0</v>
      </c>
      <c r="T495" s="46"/>
      <c r="U495" s="46"/>
      <c r="V495" s="46"/>
      <c r="W495" s="46"/>
      <c r="X495" s="46"/>
      <c r="Y495" s="112">
        <f t="shared" si="167"/>
        <v>0</v>
      </c>
      <c r="Z495" s="150">
        <f t="shared" si="168"/>
        <v>0</v>
      </c>
      <c r="AA495" s="150">
        <f t="shared" si="169"/>
        <v>0</v>
      </c>
      <c r="AB495" s="113">
        <f t="shared" si="170"/>
        <v>0</v>
      </c>
      <c r="AC495" s="36"/>
      <c r="AD495" s="272" t="str">
        <f t="shared" si="171"/>
        <v/>
      </c>
      <c r="AE495" s="273">
        <f t="shared" si="172"/>
        <v>0</v>
      </c>
      <c r="AF495" s="273">
        <f t="shared" si="173"/>
        <v>0</v>
      </c>
      <c r="AG495" s="273">
        <f t="shared" si="174"/>
        <v>0</v>
      </c>
      <c r="AH495" s="273">
        <f t="shared" si="175"/>
        <v>0</v>
      </c>
      <c r="AI495" s="273">
        <f t="shared" si="176"/>
        <v>0</v>
      </c>
      <c r="AJ495" s="273">
        <f t="shared" si="177"/>
        <v>0</v>
      </c>
      <c r="AK495" s="273">
        <f t="shared" si="178"/>
        <v>0</v>
      </c>
      <c r="AL495" s="274">
        <f t="shared" si="179"/>
        <v>0</v>
      </c>
      <c r="AN495" s="75" t="str">
        <f t="shared" si="180"/>
        <v>-</v>
      </c>
      <c r="AO495" s="75" t="str">
        <f t="shared" si="181"/>
        <v>-</v>
      </c>
      <c r="AP495" s="48">
        <f t="shared" si="184"/>
        <v>0</v>
      </c>
      <c r="AQ495" s="48">
        <f t="shared" si="182"/>
        <v>0</v>
      </c>
      <c r="AR495" s="49" t="e">
        <f t="shared" si="183"/>
        <v>#N/A</v>
      </c>
    </row>
    <row r="496" spans="1:44" ht="15">
      <c r="A496" s="38"/>
      <c r="B496" s="38"/>
      <c r="C496" s="38"/>
      <c r="D496" s="38"/>
      <c r="E496" s="38"/>
      <c r="F496" s="38"/>
      <c r="G496" s="47">
        <f t="shared" si="165"/>
        <v>6.5978850116714893E-2</v>
      </c>
      <c r="H496" s="44"/>
      <c r="I496" s="44"/>
      <c r="J496" s="45">
        <f t="shared" si="164"/>
        <v>0</v>
      </c>
      <c r="K496" s="38"/>
      <c r="L496" s="38"/>
      <c r="M496" s="38"/>
      <c r="N496" s="34" t="e">
        <f>VLOOKUP(F496,'GHG Emissions Factors'!$B$2:$C$4000,2,FALSE)</f>
        <v>#N/A</v>
      </c>
      <c r="O496" s="45" t="e">
        <f t="shared" si="166"/>
        <v>#N/A</v>
      </c>
      <c r="P496" s="34">
        <f>IF(L496="yes", 0, _xlfn.XLOOKUP(F496, 'GHG Emissions Factors'!$B$2:$B$4000, 'GHG Emissions Factors'!$D$2:$D$4000, 0))</f>
        <v>0</v>
      </c>
      <c r="Q496" s="46"/>
      <c r="R496" s="46"/>
      <c r="S496" s="46">
        <f>ProcurementAllocationData[[#This Row],[Net MWhs Procured]]-(ProcurementAllocationData[[#This Row],[Deep Green]]+ProcurementAllocationData[[#This Row],[LocalSol]]+ProcurementAllocationData[[#This Row],[GreenAccess]])</f>
        <v>0</v>
      </c>
      <c r="T496" s="46"/>
      <c r="U496" s="46"/>
      <c r="V496" s="46"/>
      <c r="W496" s="46"/>
      <c r="X496" s="46"/>
      <c r="Y496" s="112">
        <f t="shared" si="167"/>
        <v>0</v>
      </c>
      <c r="Z496" s="150">
        <f t="shared" si="168"/>
        <v>0</v>
      </c>
      <c r="AA496" s="150">
        <f t="shared" si="169"/>
        <v>0</v>
      </c>
      <c r="AB496" s="113">
        <f t="shared" si="170"/>
        <v>0</v>
      </c>
      <c r="AC496" s="36"/>
      <c r="AD496" s="272" t="str">
        <f t="shared" si="171"/>
        <v/>
      </c>
      <c r="AE496" s="273">
        <f t="shared" si="172"/>
        <v>0</v>
      </c>
      <c r="AF496" s="273">
        <f t="shared" si="173"/>
        <v>0</v>
      </c>
      <c r="AG496" s="273">
        <f t="shared" si="174"/>
        <v>0</v>
      </c>
      <c r="AH496" s="273">
        <f t="shared" si="175"/>
        <v>0</v>
      </c>
      <c r="AI496" s="273">
        <f t="shared" si="176"/>
        <v>0</v>
      </c>
      <c r="AJ496" s="273">
        <f t="shared" si="177"/>
        <v>0</v>
      </c>
      <c r="AK496" s="273">
        <f t="shared" si="178"/>
        <v>0</v>
      </c>
      <c r="AL496" s="274">
        <f t="shared" si="179"/>
        <v>0</v>
      </c>
      <c r="AN496" s="75" t="str">
        <f t="shared" si="180"/>
        <v>-</v>
      </c>
      <c r="AO496" s="75" t="str">
        <f t="shared" si="181"/>
        <v>-</v>
      </c>
      <c r="AP496" s="48">
        <f t="shared" si="184"/>
        <v>0</v>
      </c>
      <c r="AQ496" s="48">
        <f t="shared" si="182"/>
        <v>0</v>
      </c>
      <c r="AR496" s="49" t="e">
        <f t="shared" si="183"/>
        <v>#N/A</v>
      </c>
    </row>
    <row r="497" spans="1:44" ht="15">
      <c r="A497" s="38"/>
      <c r="B497" s="38"/>
      <c r="C497" s="38"/>
      <c r="D497" s="38"/>
      <c r="E497" s="38"/>
      <c r="F497" s="38"/>
      <c r="G497" s="47">
        <f t="shared" si="165"/>
        <v>6.5978850116714893E-2</v>
      </c>
      <c r="H497" s="44"/>
      <c r="I497" s="44"/>
      <c r="J497" s="45">
        <f t="shared" si="164"/>
        <v>0</v>
      </c>
      <c r="K497" s="38"/>
      <c r="L497" s="38"/>
      <c r="M497" s="38"/>
      <c r="N497" s="34" t="e">
        <f>VLOOKUP(F497,'GHG Emissions Factors'!$B$2:$C$4000,2,FALSE)</f>
        <v>#N/A</v>
      </c>
      <c r="O497" s="45" t="e">
        <f t="shared" si="166"/>
        <v>#N/A</v>
      </c>
      <c r="P497" s="34">
        <f>IF(L497="yes", 0, _xlfn.XLOOKUP(F497, 'GHG Emissions Factors'!$B$2:$B$4000, 'GHG Emissions Factors'!$D$2:$D$4000, 0))</f>
        <v>0</v>
      </c>
      <c r="Q497" s="46"/>
      <c r="R497" s="46"/>
      <c r="S497" s="46">
        <f>ProcurementAllocationData[[#This Row],[Net MWhs Procured]]-(ProcurementAllocationData[[#This Row],[Deep Green]]+ProcurementAllocationData[[#This Row],[LocalSol]]+ProcurementAllocationData[[#This Row],[GreenAccess]])</f>
        <v>0</v>
      </c>
      <c r="T497" s="46"/>
      <c r="U497" s="46"/>
      <c r="V497" s="46"/>
      <c r="W497" s="46"/>
      <c r="X497" s="46"/>
      <c r="Y497" s="112">
        <f t="shared" si="167"/>
        <v>0</v>
      </c>
      <c r="Z497" s="150">
        <f t="shared" si="168"/>
        <v>0</v>
      </c>
      <c r="AA497" s="150">
        <f t="shared" si="169"/>
        <v>0</v>
      </c>
      <c r="AB497" s="113">
        <f t="shared" si="170"/>
        <v>0</v>
      </c>
      <c r="AC497" s="36"/>
      <c r="AD497" s="272" t="str">
        <f t="shared" si="171"/>
        <v/>
      </c>
      <c r="AE497" s="273">
        <f t="shared" si="172"/>
        <v>0</v>
      </c>
      <c r="AF497" s="273">
        <f t="shared" si="173"/>
        <v>0</v>
      </c>
      <c r="AG497" s="273">
        <f t="shared" si="174"/>
        <v>0</v>
      </c>
      <c r="AH497" s="273">
        <f t="shared" si="175"/>
        <v>0</v>
      </c>
      <c r="AI497" s="273">
        <f t="shared" si="176"/>
        <v>0</v>
      </c>
      <c r="AJ497" s="273">
        <f t="shared" si="177"/>
        <v>0</v>
      </c>
      <c r="AK497" s="273">
        <f t="shared" si="178"/>
        <v>0</v>
      </c>
      <c r="AL497" s="274">
        <f t="shared" si="179"/>
        <v>0</v>
      </c>
      <c r="AN497" s="75" t="str">
        <f t="shared" si="180"/>
        <v>-</v>
      </c>
      <c r="AO497" s="75" t="str">
        <f t="shared" si="181"/>
        <v>-</v>
      </c>
      <c r="AP497" s="48">
        <f t="shared" si="184"/>
        <v>0</v>
      </c>
      <c r="AQ497" s="48">
        <f t="shared" si="182"/>
        <v>0</v>
      </c>
      <c r="AR497" s="49" t="e">
        <f t="shared" si="183"/>
        <v>#N/A</v>
      </c>
    </row>
    <row r="498" spans="1:44" ht="15">
      <c r="A498" s="38"/>
      <c r="B498" s="38"/>
      <c r="C498" s="38"/>
      <c r="D498" s="38"/>
      <c r="E498" s="38"/>
      <c r="F498" s="38"/>
      <c r="G498" s="47">
        <f t="shared" si="165"/>
        <v>6.5978850116714893E-2</v>
      </c>
      <c r="H498" s="44"/>
      <c r="I498" s="44"/>
      <c r="J498" s="45">
        <f t="shared" si="164"/>
        <v>0</v>
      </c>
      <c r="K498" s="38"/>
      <c r="L498" s="38"/>
      <c r="M498" s="38"/>
      <c r="N498" s="34" t="e">
        <f>VLOOKUP(F498,'GHG Emissions Factors'!$B$2:$C$4000,2,FALSE)</f>
        <v>#N/A</v>
      </c>
      <c r="O498" s="45" t="e">
        <f t="shared" si="166"/>
        <v>#N/A</v>
      </c>
      <c r="P498" s="34">
        <f>IF(L498="yes", 0, _xlfn.XLOOKUP(F498, 'GHG Emissions Factors'!$B$2:$B$4000, 'GHG Emissions Factors'!$D$2:$D$4000, 0))</f>
        <v>0</v>
      </c>
      <c r="Q498" s="46"/>
      <c r="R498" s="46"/>
      <c r="S498" s="46">
        <f>ProcurementAllocationData[[#This Row],[Net MWhs Procured]]-(ProcurementAllocationData[[#This Row],[Deep Green]]+ProcurementAllocationData[[#This Row],[LocalSol]]+ProcurementAllocationData[[#This Row],[GreenAccess]])</f>
        <v>0</v>
      </c>
      <c r="T498" s="46"/>
      <c r="U498" s="46"/>
      <c r="V498" s="46"/>
      <c r="W498" s="46"/>
      <c r="X498" s="46"/>
      <c r="Y498" s="112">
        <f t="shared" si="167"/>
        <v>0</v>
      </c>
      <c r="Z498" s="150">
        <f t="shared" si="168"/>
        <v>0</v>
      </c>
      <c r="AA498" s="150">
        <f t="shared" si="169"/>
        <v>0</v>
      </c>
      <c r="AB498" s="113">
        <f t="shared" si="170"/>
        <v>0</v>
      </c>
      <c r="AC498" s="36"/>
      <c r="AD498" s="272" t="str">
        <f t="shared" si="171"/>
        <v/>
      </c>
      <c r="AE498" s="273">
        <f t="shared" si="172"/>
        <v>0</v>
      </c>
      <c r="AF498" s="273">
        <f t="shared" si="173"/>
        <v>0</v>
      </c>
      <c r="AG498" s="273">
        <f t="shared" si="174"/>
        <v>0</v>
      </c>
      <c r="AH498" s="273">
        <f t="shared" si="175"/>
        <v>0</v>
      </c>
      <c r="AI498" s="273">
        <f t="shared" si="176"/>
        <v>0</v>
      </c>
      <c r="AJ498" s="273">
        <f t="shared" si="177"/>
        <v>0</v>
      </c>
      <c r="AK498" s="273">
        <f t="shared" si="178"/>
        <v>0</v>
      </c>
      <c r="AL498" s="274">
        <f t="shared" si="179"/>
        <v>0</v>
      </c>
      <c r="AN498" s="75" t="str">
        <f t="shared" si="180"/>
        <v>-</v>
      </c>
      <c r="AO498" s="75" t="str">
        <f t="shared" si="181"/>
        <v>-</v>
      </c>
      <c r="AP498" s="48">
        <f t="shared" si="184"/>
        <v>0</v>
      </c>
      <c r="AQ498" s="48">
        <f t="shared" si="182"/>
        <v>0</v>
      </c>
      <c r="AR498" s="49" t="e">
        <f t="shared" si="183"/>
        <v>#N/A</v>
      </c>
    </row>
    <row r="499" spans="1:44" ht="15">
      <c r="A499" s="38"/>
      <c r="B499" s="38"/>
      <c r="C499" s="38"/>
      <c r="D499" s="38"/>
      <c r="E499" s="38"/>
      <c r="F499" s="38"/>
      <c r="G499" s="47">
        <f t="shared" si="165"/>
        <v>6.5978850116714893E-2</v>
      </c>
      <c r="H499" s="44"/>
      <c r="I499" s="44"/>
      <c r="J499" s="45">
        <f t="shared" si="164"/>
        <v>0</v>
      </c>
      <c r="K499" s="38"/>
      <c r="L499" s="38"/>
      <c r="M499" s="38"/>
      <c r="N499" s="34" t="e">
        <f>VLOOKUP(F499,'GHG Emissions Factors'!$B$2:$C$4000,2,FALSE)</f>
        <v>#N/A</v>
      </c>
      <c r="O499" s="45" t="e">
        <f t="shared" si="166"/>
        <v>#N/A</v>
      </c>
      <c r="P499" s="34">
        <f>IF(L499="yes", 0, _xlfn.XLOOKUP(F499, 'GHG Emissions Factors'!$B$2:$B$4000, 'GHG Emissions Factors'!$D$2:$D$4000, 0))</f>
        <v>0</v>
      </c>
      <c r="Q499" s="46"/>
      <c r="R499" s="46"/>
      <c r="S499" s="46">
        <f>ProcurementAllocationData[[#This Row],[Net MWhs Procured]]-(ProcurementAllocationData[[#This Row],[Deep Green]]+ProcurementAllocationData[[#This Row],[LocalSol]]+ProcurementAllocationData[[#This Row],[GreenAccess]])</f>
        <v>0</v>
      </c>
      <c r="T499" s="46"/>
      <c r="U499" s="46"/>
      <c r="V499" s="46"/>
      <c r="W499" s="46"/>
      <c r="X499" s="46"/>
      <c r="Y499" s="112">
        <f t="shared" si="167"/>
        <v>0</v>
      </c>
      <c r="Z499" s="150">
        <f t="shared" si="168"/>
        <v>0</v>
      </c>
      <c r="AA499" s="150">
        <f t="shared" si="169"/>
        <v>0</v>
      </c>
      <c r="AB499" s="113">
        <f t="shared" si="170"/>
        <v>0</v>
      </c>
      <c r="AC499" s="36"/>
      <c r="AD499" s="272" t="str">
        <f t="shared" si="171"/>
        <v/>
      </c>
      <c r="AE499" s="273">
        <f t="shared" si="172"/>
        <v>0</v>
      </c>
      <c r="AF499" s="273">
        <f t="shared" si="173"/>
        <v>0</v>
      </c>
      <c r="AG499" s="273">
        <f t="shared" si="174"/>
        <v>0</v>
      </c>
      <c r="AH499" s="273">
        <f t="shared" si="175"/>
        <v>0</v>
      </c>
      <c r="AI499" s="273">
        <f t="shared" si="176"/>
        <v>0</v>
      </c>
      <c r="AJ499" s="273">
        <f t="shared" si="177"/>
        <v>0</v>
      </c>
      <c r="AK499" s="273">
        <f t="shared" si="178"/>
        <v>0</v>
      </c>
      <c r="AL499" s="274">
        <f t="shared" si="179"/>
        <v>0</v>
      </c>
      <c r="AN499" s="75" t="str">
        <f t="shared" si="180"/>
        <v>-</v>
      </c>
      <c r="AO499" s="75" t="str">
        <f t="shared" si="181"/>
        <v>-</v>
      </c>
      <c r="AP499" s="48">
        <f t="shared" si="184"/>
        <v>0</v>
      </c>
      <c r="AQ499" s="48">
        <f t="shared" si="182"/>
        <v>0</v>
      </c>
      <c r="AR499" s="49" t="e">
        <f t="shared" si="183"/>
        <v>#N/A</v>
      </c>
    </row>
    <row r="500" spans="1:44" ht="15">
      <c r="A500" s="38"/>
      <c r="B500" s="38"/>
      <c r="C500" s="38"/>
      <c r="D500" s="38"/>
      <c r="E500" s="38"/>
      <c r="F500" s="38"/>
      <c r="G500" s="47">
        <f t="shared" si="165"/>
        <v>6.5978850116714893E-2</v>
      </c>
      <c r="H500" s="44"/>
      <c r="I500" s="44"/>
      <c r="J500" s="45">
        <f t="shared" ref="J500:J563" si="185">H500-I500</f>
        <v>0</v>
      </c>
      <c r="K500" s="38"/>
      <c r="L500" s="38"/>
      <c r="M500" s="38"/>
      <c r="N500" s="34" t="e">
        <f>VLOOKUP(F500,'GHG Emissions Factors'!$B$2:$C$4000,2,FALSE)</f>
        <v>#N/A</v>
      </c>
      <c r="O500" s="45" t="e">
        <f t="shared" si="166"/>
        <v>#N/A</v>
      </c>
      <c r="P500" s="34">
        <f>IF(L500="yes", 0, _xlfn.XLOOKUP(F500, 'GHG Emissions Factors'!$B$2:$B$4000, 'GHG Emissions Factors'!$D$2:$D$4000, 0))</f>
        <v>0</v>
      </c>
      <c r="Q500" s="46"/>
      <c r="R500" s="46"/>
      <c r="S500" s="46">
        <f>ProcurementAllocationData[[#This Row],[Net MWhs Procured]]-(ProcurementAllocationData[[#This Row],[Deep Green]]+ProcurementAllocationData[[#This Row],[LocalSol]]+ProcurementAllocationData[[#This Row],[GreenAccess]])</f>
        <v>0</v>
      </c>
      <c r="T500" s="46"/>
      <c r="U500" s="46"/>
      <c r="V500" s="46"/>
      <c r="W500" s="46"/>
      <c r="X500" s="46"/>
      <c r="Y500" s="112">
        <f t="shared" si="167"/>
        <v>0</v>
      </c>
      <c r="Z500" s="150">
        <f t="shared" si="168"/>
        <v>0</v>
      </c>
      <c r="AA500" s="150">
        <f t="shared" si="169"/>
        <v>0</v>
      </c>
      <c r="AB500" s="113">
        <f t="shared" si="170"/>
        <v>0</v>
      </c>
      <c r="AC500" s="36"/>
      <c r="AD500" s="272" t="str">
        <f t="shared" si="171"/>
        <v/>
      </c>
      <c r="AE500" s="273">
        <f t="shared" si="172"/>
        <v>0</v>
      </c>
      <c r="AF500" s="273">
        <f t="shared" si="173"/>
        <v>0</v>
      </c>
      <c r="AG500" s="273">
        <f t="shared" si="174"/>
        <v>0</v>
      </c>
      <c r="AH500" s="273">
        <f t="shared" si="175"/>
        <v>0</v>
      </c>
      <c r="AI500" s="273">
        <f t="shared" si="176"/>
        <v>0</v>
      </c>
      <c r="AJ500" s="273">
        <f t="shared" si="177"/>
        <v>0</v>
      </c>
      <c r="AK500" s="273">
        <f t="shared" si="178"/>
        <v>0</v>
      </c>
      <c r="AL500" s="274">
        <f t="shared" si="179"/>
        <v>0</v>
      </c>
      <c r="AN500" s="75" t="str">
        <f t="shared" si="180"/>
        <v>-</v>
      </c>
      <c r="AO500" s="75" t="str">
        <f t="shared" si="181"/>
        <v>-</v>
      </c>
      <c r="AP500" s="48">
        <f t="shared" si="184"/>
        <v>0</v>
      </c>
      <c r="AQ500" s="48">
        <f t="shared" si="182"/>
        <v>0</v>
      </c>
      <c r="AR500" s="49" t="e">
        <f t="shared" si="183"/>
        <v>#N/A</v>
      </c>
    </row>
    <row r="501" spans="1:44" ht="15">
      <c r="A501" s="38"/>
      <c r="B501" s="38"/>
      <c r="C501" s="38"/>
      <c r="D501" s="38"/>
      <c r="E501" s="38"/>
      <c r="F501" s="38"/>
      <c r="G501" s="47">
        <f t="shared" si="165"/>
        <v>6.5978850116714893E-2</v>
      </c>
      <c r="H501" s="44"/>
      <c r="I501" s="44"/>
      <c r="J501" s="45">
        <f t="shared" si="185"/>
        <v>0</v>
      </c>
      <c r="K501" s="38"/>
      <c r="L501" s="38"/>
      <c r="M501" s="38"/>
      <c r="N501" s="34" t="e">
        <f>VLOOKUP(F501,'GHG Emissions Factors'!$B$2:$C$4000,2,FALSE)</f>
        <v>#N/A</v>
      </c>
      <c r="O501" s="45" t="e">
        <f t="shared" si="166"/>
        <v>#N/A</v>
      </c>
      <c r="P501" s="34">
        <f>IF(L501="yes", 0, _xlfn.XLOOKUP(F501, 'GHG Emissions Factors'!$B$2:$B$4000, 'GHG Emissions Factors'!$D$2:$D$4000, 0))</f>
        <v>0</v>
      </c>
      <c r="Q501" s="46"/>
      <c r="R501" s="46"/>
      <c r="S501" s="46">
        <f>ProcurementAllocationData[[#This Row],[Net MWhs Procured]]-(ProcurementAllocationData[[#This Row],[Deep Green]]+ProcurementAllocationData[[#This Row],[LocalSol]]+ProcurementAllocationData[[#This Row],[GreenAccess]])</f>
        <v>0</v>
      </c>
      <c r="T501" s="46"/>
      <c r="U501" s="46"/>
      <c r="V501" s="46"/>
      <c r="W501" s="46"/>
      <c r="X501" s="46"/>
      <c r="Y501" s="112">
        <f t="shared" si="167"/>
        <v>0</v>
      </c>
      <c r="Z501" s="150">
        <f t="shared" si="168"/>
        <v>0</v>
      </c>
      <c r="AA501" s="150">
        <f t="shared" si="169"/>
        <v>0</v>
      </c>
      <c r="AB501" s="113">
        <f t="shared" si="170"/>
        <v>0</v>
      </c>
      <c r="AC501" s="36"/>
      <c r="AD501" s="272" t="str">
        <f t="shared" si="171"/>
        <v/>
      </c>
      <c r="AE501" s="273">
        <f t="shared" si="172"/>
        <v>0</v>
      </c>
      <c r="AF501" s="273">
        <f t="shared" si="173"/>
        <v>0</v>
      </c>
      <c r="AG501" s="273">
        <f t="shared" si="174"/>
        <v>0</v>
      </c>
      <c r="AH501" s="273">
        <f t="shared" si="175"/>
        <v>0</v>
      </c>
      <c r="AI501" s="273">
        <f t="shared" si="176"/>
        <v>0</v>
      </c>
      <c r="AJ501" s="273">
        <f t="shared" si="177"/>
        <v>0</v>
      </c>
      <c r="AK501" s="273">
        <f t="shared" si="178"/>
        <v>0</v>
      </c>
      <c r="AL501" s="274">
        <f t="shared" si="179"/>
        <v>0</v>
      </c>
      <c r="AN501" s="75" t="str">
        <f t="shared" si="180"/>
        <v>-</v>
      </c>
      <c r="AO501" s="75" t="str">
        <f t="shared" si="181"/>
        <v>-</v>
      </c>
      <c r="AP501" s="48">
        <f t="shared" si="184"/>
        <v>0</v>
      </c>
      <c r="AQ501" s="48">
        <f t="shared" si="182"/>
        <v>0</v>
      </c>
      <c r="AR501" s="49" t="e">
        <f t="shared" si="183"/>
        <v>#N/A</v>
      </c>
    </row>
    <row r="502" spans="1:44" ht="15">
      <c r="A502" s="38"/>
      <c r="B502" s="38"/>
      <c r="C502" s="38"/>
      <c r="D502" s="38"/>
      <c r="E502" s="38"/>
      <c r="F502" s="38"/>
      <c r="G502" s="47">
        <f t="shared" si="165"/>
        <v>6.5978850116714893E-2</v>
      </c>
      <c r="H502" s="44"/>
      <c r="I502" s="44"/>
      <c r="J502" s="45">
        <f t="shared" si="185"/>
        <v>0</v>
      </c>
      <c r="K502" s="38"/>
      <c r="L502" s="38"/>
      <c r="M502" s="38"/>
      <c r="N502" s="34" t="e">
        <f>VLOOKUP(F502,'GHG Emissions Factors'!$B$2:$C$4000,2,FALSE)</f>
        <v>#N/A</v>
      </c>
      <c r="O502" s="45" t="e">
        <f t="shared" si="166"/>
        <v>#N/A</v>
      </c>
      <c r="P502" s="34">
        <f>IF(L502="yes", 0, _xlfn.XLOOKUP(F502, 'GHG Emissions Factors'!$B$2:$B$4000, 'GHG Emissions Factors'!$D$2:$D$4000, 0))</f>
        <v>0</v>
      </c>
      <c r="Q502" s="46"/>
      <c r="R502" s="46"/>
      <c r="S502" s="46">
        <f>ProcurementAllocationData[[#This Row],[Net MWhs Procured]]-(ProcurementAllocationData[[#This Row],[Deep Green]]+ProcurementAllocationData[[#This Row],[LocalSol]]+ProcurementAllocationData[[#This Row],[GreenAccess]])</f>
        <v>0</v>
      </c>
      <c r="T502" s="46"/>
      <c r="U502" s="46"/>
      <c r="V502" s="46"/>
      <c r="W502" s="46"/>
      <c r="X502" s="46"/>
      <c r="Y502" s="112">
        <f t="shared" si="167"/>
        <v>0</v>
      </c>
      <c r="Z502" s="150">
        <f t="shared" si="168"/>
        <v>0</v>
      </c>
      <c r="AA502" s="150">
        <f t="shared" si="169"/>
        <v>0</v>
      </c>
      <c r="AB502" s="113">
        <f t="shared" si="170"/>
        <v>0</v>
      </c>
      <c r="AC502" s="36"/>
      <c r="AD502" s="272" t="str">
        <f t="shared" si="171"/>
        <v/>
      </c>
      <c r="AE502" s="273">
        <f t="shared" si="172"/>
        <v>0</v>
      </c>
      <c r="AF502" s="273">
        <f t="shared" si="173"/>
        <v>0</v>
      </c>
      <c r="AG502" s="273">
        <f t="shared" si="174"/>
        <v>0</v>
      </c>
      <c r="AH502" s="273">
        <f t="shared" si="175"/>
        <v>0</v>
      </c>
      <c r="AI502" s="273">
        <f t="shared" si="176"/>
        <v>0</v>
      </c>
      <c r="AJ502" s="273">
        <f t="shared" si="177"/>
        <v>0</v>
      </c>
      <c r="AK502" s="273">
        <f t="shared" si="178"/>
        <v>0</v>
      </c>
      <c r="AL502" s="274">
        <f t="shared" si="179"/>
        <v>0</v>
      </c>
      <c r="AN502" s="75" t="str">
        <f t="shared" si="180"/>
        <v>-</v>
      </c>
      <c r="AO502" s="75" t="str">
        <f t="shared" si="181"/>
        <v>-</v>
      </c>
      <c r="AP502" s="48">
        <f t="shared" si="184"/>
        <v>0</v>
      </c>
      <c r="AQ502" s="48">
        <f t="shared" si="182"/>
        <v>0</v>
      </c>
      <c r="AR502" s="49" t="e">
        <f t="shared" si="183"/>
        <v>#N/A</v>
      </c>
    </row>
    <row r="503" spans="1:44" ht="15">
      <c r="A503" s="38"/>
      <c r="B503" s="38"/>
      <c r="C503" s="38"/>
      <c r="D503" s="38"/>
      <c r="E503" s="38"/>
      <c r="F503" s="38"/>
      <c r="G503" s="47">
        <f t="shared" si="165"/>
        <v>6.5978850116714893E-2</v>
      </c>
      <c r="H503" s="44"/>
      <c r="I503" s="44"/>
      <c r="J503" s="45">
        <f t="shared" si="185"/>
        <v>0</v>
      </c>
      <c r="K503" s="38"/>
      <c r="L503" s="38"/>
      <c r="M503" s="38"/>
      <c r="N503" s="34" t="e">
        <f>VLOOKUP(F503,'GHG Emissions Factors'!$B$2:$C$4000,2,FALSE)</f>
        <v>#N/A</v>
      </c>
      <c r="O503" s="45" t="e">
        <f t="shared" si="166"/>
        <v>#N/A</v>
      </c>
      <c r="P503" s="34">
        <f>IF(L503="yes", 0, _xlfn.XLOOKUP(F503, 'GHG Emissions Factors'!$B$2:$B$4000, 'GHG Emissions Factors'!$D$2:$D$4000, 0))</f>
        <v>0</v>
      </c>
      <c r="Q503" s="46"/>
      <c r="R503" s="46"/>
      <c r="S503" s="46">
        <f>ProcurementAllocationData[[#This Row],[Net MWhs Procured]]-(ProcurementAllocationData[[#This Row],[Deep Green]]+ProcurementAllocationData[[#This Row],[LocalSol]]+ProcurementAllocationData[[#This Row],[GreenAccess]])</f>
        <v>0</v>
      </c>
      <c r="T503" s="46"/>
      <c r="U503" s="46"/>
      <c r="V503" s="46"/>
      <c r="W503" s="46"/>
      <c r="X503" s="46"/>
      <c r="Y503" s="112">
        <f t="shared" si="167"/>
        <v>0</v>
      </c>
      <c r="Z503" s="150">
        <f t="shared" si="168"/>
        <v>0</v>
      </c>
      <c r="AA503" s="150">
        <f t="shared" si="169"/>
        <v>0</v>
      </c>
      <c r="AB503" s="113">
        <f t="shared" si="170"/>
        <v>0</v>
      </c>
      <c r="AC503" s="36"/>
      <c r="AD503" s="272" t="str">
        <f t="shared" si="171"/>
        <v/>
      </c>
      <c r="AE503" s="273">
        <f t="shared" si="172"/>
        <v>0</v>
      </c>
      <c r="AF503" s="273">
        <f t="shared" si="173"/>
        <v>0</v>
      </c>
      <c r="AG503" s="273">
        <f t="shared" si="174"/>
        <v>0</v>
      </c>
      <c r="AH503" s="273">
        <f t="shared" si="175"/>
        <v>0</v>
      </c>
      <c r="AI503" s="273">
        <f t="shared" si="176"/>
        <v>0</v>
      </c>
      <c r="AJ503" s="273">
        <f t="shared" si="177"/>
        <v>0</v>
      </c>
      <c r="AK503" s="273">
        <f t="shared" si="178"/>
        <v>0</v>
      </c>
      <c r="AL503" s="274">
        <f t="shared" si="179"/>
        <v>0</v>
      </c>
      <c r="AN503" s="75" t="str">
        <f t="shared" si="180"/>
        <v>-</v>
      </c>
      <c r="AO503" s="75" t="str">
        <f t="shared" si="181"/>
        <v>-</v>
      </c>
      <c r="AP503" s="48">
        <f t="shared" si="184"/>
        <v>0</v>
      </c>
      <c r="AQ503" s="48">
        <f t="shared" si="182"/>
        <v>0</v>
      </c>
      <c r="AR503" s="49" t="e">
        <f t="shared" si="183"/>
        <v>#N/A</v>
      </c>
    </row>
    <row r="504" spans="1:44" ht="15">
      <c r="A504" s="38"/>
      <c r="B504" s="38"/>
      <c r="C504" s="38"/>
      <c r="D504" s="38"/>
      <c r="E504" s="38"/>
      <c r="F504" s="38"/>
      <c r="G504" s="47">
        <f t="shared" si="165"/>
        <v>6.5978850116714893E-2</v>
      </c>
      <c r="H504" s="44"/>
      <c r="I504" s="44"/>
      <c r="J504" s="45">
        <f t="shared" si="185"/>
        <v>0</v>
      </c>
      <c r="K504" s="38"/>
      <c r="L504" s="38"/>
      <c r="M504" s="38"/>
      <c r="N504" s="34" t="e">
        <f>VLOOKUP(F504,'GHG Emissions Factors'!$B$2:$C$4000,2,FALSE)</f>
        <v>#N/A</v>
      </c>
      <c r="O504" s="45" t="e">
        <f t="shared" si="166"/>
        <v>#N/A</v>
      </c>
      <c r="P504" s="34">
        <f>IF(L504="yes", 0, _xlfn.XLOOKUP(F504, 'GHG Emissions Factors'!$B$2:$B$4000, 'GHG Emissions Factors'!$D$2:$D$4000, 0))</f>
        <v>0</v>
      </c>
      <c r="Q504" s="46"/>
      <c r="R504" s="46"/>
      <c r="S504" s="46">
        <f>ProcurementAllocationData[[#This Row],[Net MWhs Procured]]-(ProcurementAllocationData[[#This Row],[Deep Green]]+ProcurementAllocationData[[#This Row],[LocalSol]]+ProcurementAllocationData[[#This Row],[GreenAccess]])</f>
        <v>0</v>
      </c>
      <c r="T504" s="46"/>
      <c r="U504" s="46"/>
      <c r="V504" s="46"/>
      <c r="W504" s="46"/>
      <c r="X504" s="46"/>
      <c r="Y504" s="112">
        <f t="shared" si="167"/>
        <v>0</v>
      </c>
      <c r="Z504" s="150">
        <f t="shared" si="168"/>
        <v>0</v>
      </c>
      <c r="AA504" s="150">
        <f t="shared" si="169"/>
        <v>0</v>
      </c>
      <c r="AB504" s="113">
        <f t="shared" si="170"/>
        <v>0</v>
      </c>
      <c r="AC504" s="36"/>
      <c r="AD504" s="272" t="str">
        <f t="shared" si="171"/>
        <v/>
      </c>
      <c r="AE504" s="273">
        <f t="shared" si="172"/>
        <v>0</v>
      </c>
      <c r="AF504" s="273">
        <f t="shared" si="173"/>
        <v>0</v>
      </c>
      <c r="AG504" s="273">
        <f t="shared" si="174"/>
        <v>0</v>
      </c>
      <c r="AH504" s="273">
        <f t="shared" si="175"/>
        <v>0</v>
      </c>
      <c r="AI504" s="273">
        <f t="shared" si="176"/>
        <v>0</v>
      </c>
      <c r="AJ504" s="273">
        <f t="shared" si="177"/>
        <v>0</v>
      </c>
      <c r="AK504" s="273">
        <f t="shared" si="178"/>
        <v>0</v>
      </c>
      <c r="AL504" s="274">
        <f t="shared" si="179"/>
        <v>0</v>
      </c>
      <c r="AN504" s="75" t="str">
        <f t="shared" si="180"/>
        <v>-</v>
      </c>
      <c r="AO504" s="75" t="str">
        <f t="shared" si="181"/>
        <v>-</v>
      </c>
      <c r="AP504" s="48">
        <f t="shared" si="184"/>
        <v>0</v>
      </c>
      <c r="AQ504" s="48">
        <f t="shared" si="182"/>
        <v>0</v>
      </c>
      <c r="AR504" s="49" t="e">
        <f t="shared" si="183"/>
        <v>#N/A</v>
      </c>
    </row>
    <row r="505" spans="1:44" ht="15">
      <c r="A505" s="38"/>
      <c r="B505" s="38"/>
      <c r="C505" s="38"/>
      <c r="D505" s="38"/>
      <c r="E505" s="38"/>
      <c r="F505" s="38"/>
      <c r="G505" s="47">
        <f t="shared" si="165"/>
        <v>6.5978850116714893E-2</v>
      </c>
      <c r="H505" s="44"/>
      <c r="I505" s="44"/>
      <c r="J505" s="45">
        <f t="shared" si="185"/>
        <v>0</v>
      </c>
      <c r="K505" s="38"/>
      <c r="L505" s="38"/>
      <c r="M505" s="38"/>
      <c r="N505" s="34" t="e">
        <f>VLOOKUP(F505,'GHG Emissions Factors'!$B$2:$C$4000,2,FALSE)</f>
        <v>#N/A</v>
      </c>
      <c r="O505" s="45" t="e">
        <f t="shared" si="166"/>
        <v>#N/A</v>
      </c>
      <c r="P505" s="34">
        <f>IF(L505="yes", 0, _xlfn.XLOOKUP(F505, 'GHG Emissions Factors'!$B$2:$B$4000, 'GHG Emissions Factors'!$D$2:$D$4000, 0))</f>
        <v>0</v>
      </c>
      <c r="Q505" s="46"/>
      <c r="R505" s="46"/>
      <c r="S505" s="46">
        <f>ProcurementAllocationData[[#This Row],[Net MWhs Procured]]-(ProcurementAllocationData[[#This Row],[Deep Green]]+ProcurementAllocationData[[#This Row],[LocalSol]]+ProcurementAllocationData[[#This Row],[GreenAccess]])</f>
        <v>0</v>
      </c>
      <c r="T505" s="46"/>
      <c r="U505" s="46"/>
      <c r="V505" s="46"/>
      <c r="W505" s="46"/>
      <c r="X505" s="46"/>
      <c r="Y505" s="112">
        <f t="shared" si="167"/>
        <v>0</v>
      </c>
      <c r="Z505" s="150">
        <f t="shared" si="168"/>
        <v>0</v>
      </c>
      <c r="AA505" s="150">
        <f t="shared" si="169"/>
        <v>0</v>
      </c>
      <c r="AB505" s="113">
        <f t="shared" si="170"/>
        <v>0</v>
      </c>
      <c r="AC505" s="36"/>
      <c r="AD505" s="272" t="str">
        <f t="shared" si="171"/>
        <v/>
      </c>
      <c r="AE505" s="273">
        <f t="shared" si="172"/>
        <v>0</v>
      </c>
      <c r="AF505" s="273">
        <f t="shared" si="173"/>
        <v>0</v>
      </c>
      <c r="AG505" s="273">
        <f t="shared" si="174"/>
        <v>0</v>
      </c>
      <c r="AH505" s="273">
        <f t="shared" si="175"/>
        <v>0</v>
      </c>
      <c r="AI505" s="273">
        <f t="shared" si="176"/>
        <v>0</v>
      </c>
      <c r="AJ505" s="273">
        <f t="shared" si="177"/>
        <v>0</v>
      </c>
      <c r="AK505" s="273">
        <f t="shared" si="178"/>
        <v>0</v>
      </c>
      <c r="AL505" s="274">
        <f t="shared" si="179"/>
        <v>0</v>
      </c>
      <c r="AN505" s="75" t="str">
        <f t="shared" si="180"/>
        <v>-</v>
      </c>
      <c r="AO505" s="75" t="str">
        <f t="shared" si="181"/>
        <v>-</v>
      </c>
      <c r="AP505" s="48">
        <f t="shared" si="184"/>
        <v>0</v>
      </c>
      <c r="AQ505" s="48">
        <f t="shared" si="182"/>
        <v>0</v>
      </c>
      <c r="AR505" s="49" t="e">
        <f t="shared" si="183"/>
        <v>#N/A</v>
      </c>
    </row>
    <row r="506" spans="1:44" ht="15">
      <c r="A506" s="38"/>
      <c r="B506" s="38"/>
      <c r="C506" s="38"/>
      <c r="D506" s="38"/>
      <c r="E506" s="38"/>
      <c r="F506" s="38"/>
      <c r="G506" s="47">
        <f t="shared" si="165"/>
        <v>6.5978850116714893E-2</v>
      </c>
      <c r="H506" s="44"/>
      <c r="I506" s="44"/>
      <c r="J506" s="45">
        <f t="shared" si="185"/>
        <v>0</v>
      </c>
      <c r="K506" s="38"/>
      <c r="L506" s="38"/>
      <c r="M506" s="38"/>
      <c r="N506" s="34" t="e">
        <f>VLOOKUP(F506,'GHG Emissions Factors'!$B$2:$C$4000,2,FALSE)</f>
        <v>#N/A</v>
      </c>
      <c r="O506" s="45" t="e">
        <f t="shared" si="166"/>
        <v>#N/A</v>
      </c>
      <c r="P506" s="34">
        <f>IF(L506="yes", 0, _xlfn.XLOOKUP(F506, 'GHG Emissions Factors'!$B$2:$B$4000, 'GHG Emissions Factors'!$D$2:$D$4000, 0))</f>
        <v>0</v>
      </c>
      <c r="Q506" s="46"/>
      <c r="R506" s="46"/>
      <c r="S506" s="46">
        <f>ProcurementAllocationData[[#This Row],[Net MWhs Procured]]-(ProcurementAllocationData[[#This Row],[Deep Green]]+ProcurementAllocationData[[#This Row],[LocalSol]]+ProcurementAllocationData[[#This Row],[GreenAccess]])</f>
        <v>0</v>
      </c>
      <c r="T506" s="46"/>
      <c r="U506" s="46"/>
      <c r="V506" s="46"/>
      <c r="W506" s="46"/>
      <c r="X506" s="46"/>
      <c r="Y506" s="112">
        <f t="shared" si="167"/>
        <v>0</v>
      </c>
      <c r="Z506" s="150">
        <f t="shared" si="168"/>
        <v>0</v>
      </c>
      <c r="AA506" s="150">
        <f t="shared" si="169"/>
        <v>0</v>
      </c>
      <c r="AB506" s="113">
        <f t="shared" si="170"/>
        <v>0</v>
      </c>
      <c r="AC506" s="36"/>
      <c r="AD506" s="272" t="str">
        <f t="shared" si="171"/>
        <v/>
      </c>
      <c r="AE506" s="273">
        <f t="shared" si="172"/>
        <v>0</v>
      </c>
      <c r="AF506" s="273">
        <f t="shared" si="173"/>
        <v>0</v>
      </c>
      <c r="AG506" s="273">
        <f t="shared" si="174"/>
        <v>0</v>
      </c>
      <c r="AH506" s="273">
        <f t="shared" si="175"/>
        <v>0</v>
      </c>
      <c r="AI506" s="273">
        <f t="shared" si="176"/>
        <v>0</v>
      </c>
      <c r="AJ506" s="273">
        <f t="shared" si="177"/>
        <v>0</v>
      </c>
      <c r="AK506" s="273">
        <f t="shared" si="178"/>
        <v>0</v>
      </c>
      <c r="AL506" s="274">
        <f t="shared" si="179"/>
        <v>0</v>
      </c>
      <c r="AN506" s="75" t="str">
        <f t="shared" si="180"/>
        <v>-</v>
      </c>
      <c r="AO506" s="75" t="str">
        <f t="shared" si="181"/>
        <v>-</v>
      </c>
      <c r="AP506" s="48">
        <f t="shared" si="184"/>
        <v>0</v>
      </c>
      <c r="AQ506" s="48">
        <f t="shared" si="182"/>
        <v>0</v>
      </c>
      <c r="AR506" s="49" t="e">
        <f t="shared" si="183"/>
        <v>#N/A</v>
      </c>
    </row>
    <row r="507" spans="1:44" ht="15">
      <c r="A507" s="38"/>
      <c r="B507" s="38"/>
      <c r="C507" s="38"/>
      <c r="D507" s="38"/>
      <c r="E507" s="38"/>
      <c r="F507" s="38"/>
      <c r="G507" s="47">
        <f t="shared" si="165"/>
        <v>6.5978850116714893E-2</v>
      </c>
      <c r="H507" s="44"/>
      <c r="I507" s="44"/>
      <c r="J507" s="45">
        <f t="shared" si="185"/>
        <v>0</v>
      </c>
      <c r="K507" s="38"/>
      <c r="L507" s="38"/>
      <c r="M507" s="38"/>
      <c r="N507" s="34" t="e">
        <f>VLOOKUP(F507,'GHG Emissions Factors'!$B$2:$C$4000,2,FALSE)</f>
        <v>#N/A</v>
      </c>
      <c r="O507" s="45" t="e">
        <f t="shared" si="166"/>
        <v>#N/A</v>
      </c>
      <c r="P507" s="34">
        <f>IF(L507="yes", 0, _xlfn.XLOOKUP(F507, 'GHG Emissions Factors'!$B$2:$B$4000, 'GHG Emissions Factors'!$D$2:$D$4000, 0))</f>
        <v>0</v>
      </c>
      <c r="Q507" s="46"/>
      <c r="R507" s="46"/>
      <c r="S507" s="46">
        <f>ProcurementAllocationData[[#This Row],[Net MWhs Procured]]-(ProcurementAllocationData[[#This Row],[Deep Green]]+ProcurementAllocationData[[#This Row],[LocalSol]]+ProcurementAllocationData[[#This Row],[GreenAccess]])</f>
        <v>0</v>
      </c>
      <c r="T507" s="46"/>
      <c r="U507" s="46"/>
      <c r="V507" s="46"/>
      <c r="W507" s="46"/>
      <c r="X507" s="46"/>
      <c r="Y507" s="112">
        <f t="shared" si="167"/>
        <v>0</v>
      </c>
      <c r="Z507" s="150">
        <f t="shared" si="168"/>
        <v>0</v>
      </c>
      <c r="AA507" s="150">
        <f t="shared" si="169"/>
        <v>0</v>
      </c>
      <c r="AB507" s="113">
        <f t="shared" si="170"/>
        <v>0</v>
      </c>
      <c r="AC507" s="36"/>
      <c r="AD507" s="272" t="str">
        <f t="shared" si="171"/>
        <v/>
      </c>
      <c r="AE507" s="273">
        <f t="shared" si="172"/>
        <v>0</v>
      </c>
      <c r="AF507" s="273">
        <f t="shared" si="173"/>
        <v>0</v>
      </c>
      <c r="AG507" s="273">
        <f t="shared" si="174"/>
        <v>0</v>
      </c>
      <c r="AH507" s="273">
        <f t="shared" si="175"/>
        <v>0</v>
      </c>
      <c r="AI507" s="273">
        <f t="shared" si="176"/>
        <v>0</v>
      </c>
      <c r="AJ507" s="273">
        <f t="shared" si="177"/>
        <v>0</v>
      </c>
      <c r="AK507" s="273">
        <f t="shared" si="178"/>
        <v>0</v>
      </c>
      <c r="AL507" s="274">
        <f t="shared" si="179"/>
        <v>0</v>
      </c>
      <c r="AN507" s="75" t="str">
        <f t="shared" si="180"/>
        <v>-</v>
      </c>
      <c r="AO507" s="75" t="str">
        <f t="shared" si="181"/>
        <v>-</v>
      </c>
      <c r="AP507" s="48">
        <f t="shared" si="184"/>
        <v>0</v>
      </c>
      <c r="AQ507" s="48">
        <f t="shared" si="182"/>
        <v>0</v>
      </c>
      <c r="AR507" s="49" t="e">
        <f t="shared" si="183"/>
        <v>#N/A</v>
      </c>
    </row>
    <row r="508" spans="1:44" ht="15">
      <c r="A508" s="38"/>
      <c r="B508" s="38"/>
      <c r="C508" s="38"/>
      <c r="D508" s="38"/>
      <c r="E508" s="38"/>
      <c r="F508" s="38"/>
      <c r="G508" s="47">
        <f t="shared" si="165"/>
        <v>6.5978850116714893E-2</v>
      </c>
      <c r="H508" s="44"/>
      <c r="I508" s="44"/>
      <c r="J508" s="45">
        <f t="shared" si="185"/>
        <v>0</v>
      </c>
      <c r="K508" s="38"/>
      <c r="L508" s="38"/>
      <c r="M508" s="38"/>
      <c r="N508" s="34" t="e">
        <f>VLOOKUP(F508,'GHG Emissions Factors'!$B$2:$C$4000,2,FALSE)</f>
        <v>#N/A</v>
      </c>
      <c r="O508" s="45" t="e">
        <f t="shared" si="166"/>
        <v>#N/A</v>
      </c>
      <c r="P508" s="34">
        <f>IF(L508="yes", 0, _xlfn.XLOOKUP(F508, 'GHG Emissions Factors'!$B$2:$B$4000, 'GHG Emissions Factors'!$D$2:$D$4000, 0))</f>
        <v>0</v>
      </c>
      <c r="Q508" s="46"/>
      <c r="R508" s="46"/>
      <c r="S508" s="46">
        <f>ProcurementAllocationData[[#This Row],[Net MWhs Procured]]-(ProcurementAllocationData[[#This Row],[Deep Green]]+ProcurementAllocationData[[#This Row],[LocalSol]]+ProcurementAllocationData[[#This Row],[GreenAccess]])</f>
        <v>0</v>
      </c>
      <c r="T508" s="46"/>
      <c r="U508" s="46"/>
      <c r="V508" s="46"/>
      <c r="W508" s="46"/>
      <c r="X508" s="46"/>
      <c r="Y508" s="112">
        <f t="shared" si="167"/>
        <v>0</v>
      </c>
      <c r="Z508" s="150">
        <f t="shared" si="168"/>
        <v>0</v>
      </c>
      <c r="AA508" s="150">
        <f t="shared" si="169"/>
        <v>0</v>
      </c>
      <c r="AB508" s="113">
        <f t="shared" si="170"/>
        <v>0</v>
      </c>
      <c r="AC508" s="36"/>
      <c r="AD508" s="272" t="str">
        <f t="shared" si="171"/>
        <v/>
      </c>
      <c r="AE508" s="273">
        <f t="shared" si="172"/>
        <v>0</v>
      </c>
      <c r="AF508" s="273">
        <f t="shared" si="173"/>
        <v>0</v>
      </c>
      <c r="AG508" s="273">
        <f t="shared" si="174"/>
        <v>0</v>
      </c>
      <c r="AH508" s="273">
        <f t="shared" si="175"/>
        <v>0</v>
      </c>
      <c r="AI508" s="273">
        <f t="shared" si="176"/>
        <v>0</v>
      </c>
      <c r="AJ508" s="273">
        <f t="shared" si="177"/>
        <v>0</v>
      </c>
      <c r="AK508" s="273">
        <f t="shared" si="178"/>
        <v>0</v>
      </c>
      <c r="AL508" s="274">
        <f t="shared" si="179"/>
        <v>0</v>
      </c>
      <c r="AN508" s="75" t="str">
        <f t="shared" si="180"/>
        <v>-</v>
      </c>
      <c r="AO508" s="75" t="str">
        <f t="shared" si="181"/>
        <v>-</v>
      </c>
      <c r="AP508" s="48">
        <f t="shared" si="184"/>
        <v>0</v>
      </c>
      <c r="AQ508" s="48">
        <f t="shared" si="182"/>
        <v>0</v>
      </c>
      <c r="AR508" s="49" t="e">
        <f t="shared" si="183"/>
        <v>#N/A</v>
      </c>
    </row>
    <row r="509" spans="1:44" ht="15">
      <c r="A509" s="38"/>
      <c r="B509" s="38"/>
      <c r="C509" s="38"/>
      <c r="D509" s="38"/>
      <c r="E509" s="38"/>
      <c r="F509" s="38"/>
      <c r="G509" s="47">
        <f t="shared" si="165"/>
        <v>6.5978850116714893E-2</v>
      </c>
      <c r="H509" s="44"/>
      <c r="I509" s="44"/>
      <c r="J509" s="45">
        <f t="shared" si="185"/>
        <v>0</v>
      </c>
      <c r="K509" s="38"/>
      <c r="L509" s="38"/>
      <c r="M509" s="38"/>
      <c r="N509" s="34" t="e">
        <f>VLOOKUP(F509,'GHG Emissions Factors'!$B$2:$C$4000,2,FALSE)</f>
        <v>#N/A</v>
      </c>
      <c r="O509" s="45" t="e">
        <f t="shared" si="166"/>
        <v>#N/A</v>
      </c>
      <c r="P509" s="34">
        <f>IF(L509="yes", 0, _xlfn.XLOOKUP(F509, 'GHG Emissions Factors'!$B$2:$B$4000, 'GHG Emissions Factors'!$D$2:$D$4000, 0))</f>
        <v>0</v>
      </c>
      <c r="Q509" s="46"/>
      <c r="R509" s="46"/>
      <c r="S509" s="46">
        <f>ProcurementAllocationData[[#This Row],[Net MWhs Procured]]-(ProcurementAllocationData[[#This Row],[Deep Green]]+ProcurementAllocationData[[#This Row],[LocalSol]]+ProcurementAllocationData[[#This Row],[GreenAccess]])</f>
        <v>0</v>
      </c>
      <c r="T509" s="46"/>
      <c r="U509" s="46"/>
      <c r="V509" s="46"/>
      <c r="W509" s="46"/>
      <c r="X509" s="46"/>
      <c r="Y509" s="112">
        <f t="shared" si="167"/>
        <v>0</v>
      </c>
      <c r="Z509" s="150">
        <f t="shared" si="168"/>
        <v>0</v>
      </c>
      <c r="AA509" s="150">
        <f t="shared" si="169"/>
        <v>0</v>
      </c>
      <c r="AB509" s="113">
        <f t="shared" si="170"/>
        <v>0</v>
      </c>
      <c r="AC509" s="36"/>
      <c r="AD509" s="272" t="str">
        <f t="shared" si="171"/>
        <v/>
      </c>
      <c r="AE509" s="273">
        <f t="shared" si="172"/>
        <v>0</v>
      </c>
      <c r="AF509" s="273">
        <f t="shared" si="173"/>
        <v>0</v>
      </c>
      <c r="AG509" s="273">
        <f t="shared" si="174"/>
        <v>0</v>
      </c>
      <c r="AH509" s="273">
        <f t="shared" si="175"/>
        <v>0</v>
      </c>
      <c r="AI509" s="273">
        <f t="shared" si="176"/>
        <v>0</v>
      </c>
      <c r="AJ509" s="273">
        <f t="shared" si="177"/>
        <v>0</v>
      </c>
      <c r="AK509" s="273">
        <f t="shared" si="178"/>
        <v>0</v>
      </c>
      <c r="AL509" s="274">
        <f t="shared" si="179"/>
        <v>0</v>
      </c>
      <c r="AN509" s="75" t="str">
        <f t="shared" si="180"/>
        <v>-</v>
      </c>
      <c r="AO509" s="75" t="str">
        <f t="shared" si="181"/>
        <v>-</v>
      </c>
      <c r="AP509" s="48">
        <f t="shared" si="184"/>
        <v>0</v>
      </c>
      <c r="AQ509" s="48">
        <f t="shared" si="182"/>
        <v>0</v>
      </c>
      <c r="AR509" s="49" t="e">
        <f t="shared" si="183"/>
        <v>#N/A</v>
      </c>
    </row>
    <row r="510" spans="1:44" ht="15">
      <c r="A510" s="38"/>
      <c r="B510" s="38"/>
      <c r="C510" s="38"/>
      <c r="D510" s="38"/>
      <c r="E510" s="38"/>
      <c r="F510" s="38"/>
      <c r="G510" s="47">
        <f t="shared" si="165"/>
        <v>6.5978850116714893E-2</v>
      </c>
      <c r="H510" s="44"/>
      <c r="I510" s="44"/>
      <c r="J510" s="45">
        <f t="shared" si="185"/>
        <v>0</v>
      </c>
      <c r="K510" s="38"/>
      <c r="L510" s="38"/>
      <c r="M510" s="38"/>
      <c r="N510" s="34" t="e">
        <f>VLOOKUP(F510,'GHG Emissions Factors'!$B$2:$C$4000,2,FALSE)</f>
        <v>#N/A</v>
      </c>
      <c r="O510" s="45" t="e">
        <f t="shared" si="166"/>
        <v>#N/A</v>
      </c>
      <c r="P510" s="34">
        <f>IF(L510="yes", 0, _xlfn.XLOOKUP(F510, 'GHG Emissions Factors'!$B$2:$B$4000, 'GHG Emissions Factors'!$D$2:$D$4000, 0))</f>
        <v>0</v>
      </c>
      <c r="Q510" s="46"/>
      <c r="R510" s="46"/>
      <c r="S510" s="46">
        <f>ProcurementAllocationData[[#This Row],[Net MWhs Procured]]-(ProcurementAllocationData[[#This Row],[Deep Green]]+ProcurementAllocationData[[#This Row],[LocalSol]]+ProcurementAllocationData[[#This Row],[GreenAccess]])</f>
        <v>0</v>
      </c>
      <c r="T510" s="46"/>
      <c r="U510" s="46"/>
      <c r="V510" s="46"/>
      <c r="W510" s="46"/>
      <c r="X510" s="46"/>
      <c r="Y510" s="112">
        <f t="shared" si="167"/>
        <v>0</v>
      </c>
      <c r="Z510" s="150">
        <f t="shared" si="168"/>
        <v>0</v>
      </c>
      <c r="AA510" s="150">
        <f t="shared" si="169"/>
        <v>0</v>
      </c>
      <c r="AB510" s="113">
        <f t="shared" si="170"/>
        <v>0</v>
      </c>
      <c r="AC510" s="36"/>
      <c r="AD510" s="272" t="str">
        <f t="shared" si="171"/>
        <v/>
      </c>
      <c r="AE510" s="273">
        <f t="shared" si="172"/>
        <v>0</v>
      </c>
      <c r="AF510" s="273">
        <f t="shared" si="173"/>
        <v>0</v>
      </c>
      <c r="AG510" s="273">
        <f t="shared" si="174"/>
        <v>0</v>
      </c>
      <c r="AH510" s="273">
        <f t="shared" si="175"/>
        <v>0</v>
      </c>
      <c r="AI510" s="273">
        <f t="shared" si="176"/>
        <v>0</v>
      </c>
      <c r="AJ510" s="273">
        <f t="shared" si="177"/>
        <v>0</v>
      </c>
      <c r="AK510" s="273">
        <f t="shared" si="178"/>
        <v>0</v>
      </c>
      <c r="AL510" s="274">
        <f t="shared" si="179"/>
        <v>0</v>
      </c>
      <c r="AN510" s="75" t="str">
        <f t="shared" si="180"/>
        <v>-</v>
      </c>
      <c r="AO510" s="75" t="str">
        <f t="shared" si="181"/>
        <v>-</v>
      </c>
      <c r="AP510" s="48">
        <f t="shared" si="184"/>
        <v>0</v>
      </c>
      <c r="AQ510" s="48">
        <f t="shared" si="182"/>
        <v>0</v>
      </c>
      <c r="AR510" s="49" t="e">
        <f t="shared" si="183"/>
        <v>#N/A</v>
      </c>
    </row>
    <row r="511" spans="1:44" ht="15">
      <c r="A511" s="38"/>
      <c r="B511" s="38"/>
      <c r="C511" s="38"/>
      <c r="D511" s="38"/>
      <c r="E511" s="38"/>
      <c r="F511" s="38"/>
      <c r="G511" s="47">
        <f t="shared" si="165"/>
        <v>6.5978850116714893E-2</v>
      </c>
      <c r="H511" s="44"/>
      <c r="I511" s="44"/>
      <c r="J511" s="45">
        <f t="shared" si="185"/>
        <v>0</v>
      </c>
      <c r="K511" s="38"/>
      <c r="L511" s="38"/>
      <c r="M511" s="38"/>
      <c r="N511" s="34" t="e">
        <f>VLOOKUP(F511,'GHG Emissions Factors'!$B$2:$C$4000,2,FALSE)</f>
        <v>#N/A</v>
      </c>
      <c r="O511" s="45" t="e">
        <f t="shared" si="166"/>
        <v>#N/A</v>
      </c>
      <c r="P511" s="34">
        <f>IF(L511="yes", 0, _xlfn.XLOOKUP(F511, 'GHG Emissions Factors'!$B$2:$B$4000, 'GHG Emissions Factors'!$D$2:$D$4000, 0))</f>
        <v>0</v>
      </c>
      <c r="Q511" s="46"/>
      <c r="R511" s="46"/>
      <c r="S511" s="46">
        <f>ProcurementAllocationData[[#This Row],[Net MWhs Procured]]-(ProcurementAllocationData[[#This Row],[Deep Green]]+ProcurementAllocationData[[#This Row],[LocalSol]]+ProcurementAllocationData[[#This Row],[GreenAccess]])</f>
        <v>0</v>
      </c>
      <c r="T511" s="46"/>
      <c r="U511" s="46"/>
      <c r="V511" s="46"/>
      <c r="W511" s="46"/>
      <c r="X511" s="46"/>
      <c r="Y511" s="112">
        <f t="shared" si="167"/>
        <v>0</v>
      </c>
      <c r="Z511" s="150">
        <f t="shared" si="168"/>
        <v>0</v>
      </c>
      <c r="AA511" s="150">
        <f t="shared" si="169"/>
        <v>0</v>
      </c>
      <c r="AB511" s="113">
        <f t="shared" si="170"/>
        <v>0</v>
      </c>
      <c r="AC511" s="36"/>
      <c r="AD511" s="272" t="str">
        <f t="shared" si="171"/>
        <v/>
      </c>
      <c r="AE511" s="273">
        <f t="shared" si="172"/>
        <v>0</v>
      </c>
      <c r="AF511" s="273">
        <f t="shared" si="173"/>
        <v>0</v>
      </c>
      <c r="AG511" s="273">
        <f t="shared" si="174"/>
        <v>0</v>
      </c>
      <c r="AH511" s="273">
        <f t="shared" si="175"/>
        <v>0</v>
      </c>
      <c r="AI511" s="273">
        <f t="shared" si="176"/>
        <v>0</v>
      </c>
      <c r="AJ511" s="273">
        <f t="shared" si="177"/>
        <v>0</v>
      </c>
      <c r="AK511" s="273">
        <f t="shared" si="178"/>
        <v>0</v>
      </c>
      <c r="AL511" s="274">
        <f t="shared" si="179"/>
        <v>0</v>
      </c>
      <c r="AN511" s="75" t="str">
        <f t="shared" si="180"/>
        <v>-</v>
      </c>
      <c r="AO511" s="75" t="str">
        <f t="shared" si="181"/>
        <v>-</v>
      </c>
      <c r="AP511" s="48">
        <f t="shared" si="184"/>
        <v>0</v>
      </c>
      <c r="AQ511" s="48">
        <f t="shared" si="182"/>
        <v>0</v>
      </c>
      <c r="AR511" s="49" t="e">
        <f t="shared" si="183"/>
        <v>#N/A</v>
      </c>
    </row>
    <row r="512" spans="1:44" ht="15">
      <c r="A512" s="38"/>
      <c r="B512" s="38"/>
      <c r="C512" s="38"/>
      <c r="D512" s="38"/>
      <c r="E512" s="38"/>
      <c r="F512" s="38"/>
      <c r="G512" s="47">
        <f t="shared" si="165"/>
        <v>6.5978850116714893E-2</v>
      </c>
      <c r="H512" s="44"/>
      <c r="I512" s="44"/>
      <c r="J512" s="45">
        <f t="shared" si="185"/>
        <v>0</v>
      </c>
      <c r="K512" s="38"/>
      <c r="L512" s="38"/>
      <c r="M512" s="38"/>
      <c r="N512" s="34" t="e">
        <f>VLOOKUP(F512,'GHG Emissions Factors'!$B$2:$C$4000,2,FALSE)</f>
        <v>#N/A</v>
      </c>
      <c r="O512" s="45" t="e">
        <f t="shared" si="166"/>
        <v>#N/A</v>
      </c>
      <c r="P512" s="34">
        <f>IF(L512="yes", 0, _xlfn.XLOOKUP(F512, 'GHG Emissions Factors'!$B$2:$B$4000, 'GHG Emissions Factors'!$D$2:$D$4000, 0))</f>
        <v>0</v>
      </c>
      <c r="Q512" s="46"/>
      <c r="R512" s="46"/>
      <c r="S512" s="46">
        <f>ProcurementAllocationData[[#This Row],[Net MWhs Procured]]-(ProcurementAllocationData[[#This Row],[Deep Green]]+ProcurementAllocationData[[#This Row],[LocalSol]]+ProcurementAllocationData[[#This Row],[GreenAccess]])</f>
        <v>0</v>
      </c>
      <c r="T512" s="46"/>
      <c r="U512" s="46"/>
      <c r="V512" s="46"/>
      <c r="W512" s="46"/>
      <c r="X512" s="46"/>
      <c r="Y512" s="112">
        <f t="shared" si="167"/>
        <v>0</v>
      </c>
      <c r="Z512" s="150">
        <f t="shared" si="168"/>
        <v>0</v>
      </c>
      <c r="AA512" s="150">
        <f t="shared" si="169"/>
        <v>0</v>
      </c>
      <c r="AB512" s="113">
        <f t="shared" si="170"/>
        <v>0</v>
      </c>
      <c r="AC512" s="36"/>
      <c r="AD512" s="272" t="str">
        <f t="shared" si="171"/>
        <v/>
      </c>
      <c r="AE512" s="273">
        <f t="shared" si="172"/>
        <v>0</v>
      </c>
      <c r="AF512" s="273">
        <f t="shared" si="173"/>
        <v>0</v>
      </c>
      <c r="AG512" s="273">
        <f t="shared" si="174"/>
        <v>0</v>
      </c>
      <c r="AH512" s="273">
        <f t="shared" si="175"/>
        <v>0</v>
      </c>
      <c r="AI512" s="273">
        <f t="shared" si="176"/>
        <v>0</v>
      </c>
      <c r="AJ512" s="273">
        <f t="shared" si="177"/>
        <v>0</v>
      </c>
      <c r="AK512" s="273">
        <f t="shared" si="178"/>
        <v>0</v>
      </c>
      <c r="AL512" s="274">
        <f t="shared" si="179"/>
        <v>0</v>
      </c>
      <c r="AN512" s="75" t="str">
        <f t="shared" si="180"/>
        <v>-</v>
      </c>
      <c r="AO512" s="75" t="str">
        <f t="shared" si="181"/>
        <v>-</v>
      </c>
      <c r="AP512" s="48">
        <f t="shared" si="184"/>
        <v>0</v>
      </c>
      <c r="AQ512" s="48">
        <f t="shared" si="182"/>
        <v>0</v>
      </c>
      <c r="AR512" s="49" t="e">
        <f t="shared" si="183"/>
        <v>#N/A</v>
      </c>
    </row>
    <row r="513" spans="1:44" ht="15">
      <c r="A513" s="38"/>
      <c r="B513" s="38"/>
      <c r="C513" s="38"/>
      <c r="D513" s="38"/>
      <c r="E513" s="38"/>
      <c r="F513" s="38"/>
      <c r="G513" s="47">
        <f t="shared" si="165"/>
        <v>6.5978850116714893E-2</v>
      </c>
      <c r="H513" s="44"/>
      <c r="I513" s="44"/>
      <c r="J513" s="45">
        <f t="shared" si="185"/>
        <v>0</v>
      </c>
      <c r="K513" s="38"/>
      <c r="L513" s="38"/>
      <c r="M513" s="38"/>
      <c r="N513" s="34" t="e">
        <f>VLOOKUP(F513,'GHG Emissions Factors'!$B$2:$C$4000,2,FALSE)</f>
        <v>#N/A</v>
      </c>
      <c r="O513" s="45" t="e">
        <f t="shared" si="166"/>
        <v>#N/A</v>
      </c>
      <c r="P513" s="34">
        <f>IF(L513="yes", 0, _xlfn.XLOOKUP(F513, 'GHG Emissions Factors'!$B$2:$B$4000, 'GHG Emissions Factors'!$D$2:$D$4000, 0))</f>
        <v>0</v>
      </c>
      <c r="Q513" s="46"/>
      <c r="R513" s="46"/>
      <c r="S513" s="46">
        <f>ProcurementAllocationData[[#This Row],[Net MWhs Procured]]-(ProcurementAllocationData[[#This Row],[Deep Green]]+ProcurementAllocationData[[#This Row],[LocalSol]]+ProcurementAllocationData[[#This Row],[GreenAccess]])</f>
        <v>0</v>
      </c>
      <c r="T513" s="46"/>
      <c r="U513" s="46"/>
      <c r="V513" s="46"/>
      <c r="W513" s="46"/>
      <c r="X513" s="46"/>
      <c r="Y513" s="112">
        <f t="shared" si="167"/>
        <v>0</v>
      </c>
      <c r="Z513" s="150">
        <f t="shared" si="168"/>
        <v>0</v>
      </c>
      <c r="AA513" s="150">
        <f t="shared" si="169"/>
        <v>0</v>
      </c>
      <c r="AB513" s="113">
        <f t="shared" si="170"/>
        <v>0</v>
      </c>
      <c r="AC513" s="36"/>
      <c r="AD513" s="272" t="str">
        <f t="shared" si="171"/>
        <v/>
      </c>
      <c r="AE513" s="273">
        <f t="shared" si="172"/>
        <v>0</v>
      </c>
      <c r="AF513" s="273">
        <f t="shared" si="173"/>
        <v>0</v>
      </c>
      <c r="AG513" s="273">
        <f t="shared" si="174"/>
        <v>0</v>
      </c>
      <c r="AH513" s="273">
        <f t="shared" si="175"/>
        <v>0</v>
      </c>
      <c r="AI513" s="273">
        <f t="shared" si="176"/>
        <v>0</v>
      </c>
      <c r="AJ513" s="273">
        <f t="shared" si="177"/>
        <v>0</v>
      </c>
      <c r="AK513" s="273">
        <f t="shared" si="178"/>
        <v>0</v>
      </c>
      <c r="AL513" s="274">
        <f t="shared" si="179"/>
        <v>0</v>
      </c>
      <c r="AN513" s="75" t="str">
        <f t="shared" si="180"/>
        <v>-</v>
      </c>
      <c r="AO513" s="75" t="str">
        <f t="shared" si="181"/>
        <v>-</v>
      </c>
      <c r="AP513" s="48">
        <f t="shared" si="184"/>
        <v>0</v>
      </c>
      <c r="AQ513" s="48">
        <f t="shared" si="182"/>
        <v>0</v>
      </c>
      <c r="AR513" s="49" t="e">
        <f t="shared" si="183"/>
        <v>#N/A</v>
      </c>
    </row>
    <row r="514" spans="1:44" ht="15">
      <c r="A514" s="38"/>
      <c r="B514" s="38"/>
      <c r="C514" s="38"/>
      <c r="D514" s="38"/>
      <c r="E514" s="38"/>
      <c r="F514" s="38"/>
      <c r="G514" s="47">
        <f t="shared" si="165"/>
        <v>6.5978850116714893E-2</v>
      </c>
      <c r="H514" s="44"/>
      <c r="I514" s="44"/>
      <c r="J514" s="45">
        <f t="shared" si="185"/>
        <v>0</v>
      </c>
      <c r="K514" s="38"/>
      <c r="L514" s="38"/>
      <c r="M514" s="38"/>
      <c r="N514" s="34" t="e">
        <f>VLOOKUP(F514,'GHG Emissions Factors'!$B$2:$C$4000,2,FALSE)</f>
        <v>#N/A</v>
      </c>
      <c r="O514" s="45" t="e">
        <f t="shared" si="166"/>
        <v>#N/A</v>
      </c>
      <c r="P514" s="34">
        <f>IF(L514="yes", 0, _xlfn.XLOOKUP(F514, 'GHG Emissions Factors'!$B$2:$B$4000, 'GHG Emissions Factors'!$D$2:$D$4000, 0))</f>
        <v>0</v>
      </c>
      <c r="Q514" s="46"/>
      <c r="R514" s="46"/>
      <c r="S514" s="46">
        <f>ProcurementAllocationData[[#This Row],[Net MWhs Procured]]-(ProcurementAllocationData[[#This Row],[Deep Green]]+ProcurementAllocationData[[#This Row],[LocalSol]]+ProcurementAllocationData[[#This Row],[GreenAccess]])</f>
        <v>0</v>
      </c>
      <c r="T514" s="46"/>
      <c r="U514" s="46"/>
      <c r="V514" s="46"/>
      <c r="W514" s="46"/>
      <c r="X514" s="46"/>
      <c r="Y514" s="112">
        <f t="shared" si="167"/>
        <v>0</v>
      </c>
      <c r="Z514" s="150">
        <f t="shared" si="168"/>
        <v>0</v>
      </c>
      <c r="AA514" s="150">
        <f t="shared" si="169"/>
        <v>0</v>
      </c>
      <c r="AB514" s="113">
        <f t="shared" si="170"/>
        <v>0</v>
      </c>
      <c r="AC514" s="36"/>
      <c r="AD514" s="272" t="str">
        <f t="shared" si="171"/>
        <v/>
      </c>
      <c r="AE514" s="273">
        <f t="shared" si="172"/>
        <v>0</v>
      </c>
      <c r="AF514" s="273">
        <f t="shared" si="173"/>
        <v>0</v>
      </c>
      <c r="AG514" s="273">
        <f t="shared" si="174"/>
        <v>0</v>
      </c>
      <c r="AH514" s="273">
        <f t="shared" si="175"/>
        <v>0</v>
      </c>
      <c r="AI514" s="273">
        <f t="shared" si="176"/>
        <v>0</v>
      </c>
      <c r="AJ514" s="273">
        <f t="shared" si="177"/>
        <v>0</v>
      </c>
      <c r="AK514" s="273">
        <f t="shared" si="178"/>
        <v>0</v>
      </c>
      <c r="AL514" s="274">
        <f t="shared" si="179"/>
        <v>0</v>
      </c>
      <c r="AN514" s="75" t="str">
        <f t="shared" si="180"/>
        <v>-</v>
      </c>
      <c r="AO514" s="75" t="str">
        <f t="shared" si="181"/>
        <v>-</v>
      </c>
      <c r="AP514" s="48">
        <f t="shared" si="184"/>
        <v>0</v>
      </c>
      <c r="AQ514" s="48">
        <f t="shared" si="182"/>
        <v>0</v>
      </c>
      <c r="AR514" s="49" t="e">
        <f t="shared" si="183"/>
        <v>#N/A</v>
      </c>
    </row>
    <row r="515" spans="1:44" ht="15">
      <c r="A515" s="38"/>
      <c r="B515" s="38"/>
      <c r="C515" s="38"/>
      <c r="D515" s="38"/>
      <c r="E515" s="38"/>
      <c r="F515" s="38"/>
      <c r="G515" s="47">
        <f t="shared" si="165"/>
        <v>6.5978850116714893E-2</v>
      </c>
      <c r="H515" s="44"/>
      <c r="I515" s="44"/>
      <c r="J515" s="45">
        <f t="shared" si="185"/>
        <v>0</v>
      </c>
      <c r="K515" s="38"/>
      <c r="L515" s="38"/>
      <c r="M515" s="38"/>
      <c r="N515" s="34" t="e">
        <f>VLOOKUP(F515,'GHG Emissions Factors'!$B$2:$C$4000,2,FALSE)</f>
        <v>#N/A</v>
      </c>
      <c r="O515" s="45" t="e">
        <f t="shared" si="166"/>
        <v>#N/A</v>
      </c>
      <c r="P515" s="34">
        <f>IF(L515="yes", 0, _xlfn.XLOOKUP(F515, 'GHG Emissions Factors'!$B$2:$B$4000, 'GHG Emissions Factors'!$D$2:$D$4000, 0))</f>
        <v>0</v>
      </c>
      <c r="Q515" s="46"/>
      <c r="R515" s="46"/>
      <c r="S515" s="46">
        <f>ProcurementAllocationData[[#This Row],[Net MWhs Procured]]-(ProcurementAllocationData[[#This Row],[Deep Green]]+ProcurementAllocationData[[#This Row],[LocalSol]]+ProcurementAllocationData[[#This Row],[GreenAccess]])</f>
        <v>0</v>
      </c>
      <c r="T515" s="46"/>
      <c r="U515" s="46"/>
      <c r="V515" s="46"/>
      <c r="W515" s="46"/>
      <c r="X515" s="46"/>
      <c r="Y515" s="112">
        <f t="shared" si="167"/>
        <v>0</v>
      </c>
      <c r="Z515" s="150">
        <f t="shared" si="168"/>
        <v>0</v>
      </c>
      <c r="AA515" s="150">
        <f t="shared" si="169"/>
        <v>0</v>
      </c>
      <c r="AB515" s="113">
        <f t="shared" si="170"/>
        <v>0</v>
      </c>
      <c r="AC515" s="36"/>
      <c r="AD515" s="272" t="str">
        <f t="shared" si="171"/>
        <v/>
      </c>
      <c r="AE515" s="273">
        <f t="shared" si="172"/>
        <v>0</v>
      </c>
      <c r="AF515" s="273">
        <f t="shared" si="173"/>
        <v>0</v>
      </c>
      <c r="AG515" s="273">
        <f t="shared" si="174"/>
        <v>0</v>
      </c>
      <c r="AH515" s="273">
        <f t="shared" si="175"/>
        <v>0</v>
      </c>
      <c r="AI515" s="273">
        <f t="shared" si="176"/>
        <v>0</v>
      </c>
      <c r="AJ515" s="273">
        <f t="shared" si="177"/>
        <v>0</v>
      </c>
      <c r="AK515" s="273">
        <f t="shared" si="178"/>
        <v>0</v>
      </c>
      <c r="AL515" s="274">
        <f t="shared" si="179"/>
        <v>0</v>
      </c>
      <c r="AN515" s="75" t="str">
        <f t="shared" si="180"/>
        <v>-</v>
      </c>
      <c r="AO515" s="75" t="str">
        <f t="shared" si="181"/>
        <v>-</v>
      </c>
      <c r="AP515" s="48">
        <f t="shared" si="184"/>
        <v>0</v>
      </c>
      <c r="AQ515" s="48">
        <f t="shared" si="182"/>
        <v>0</v>
      </c>
      <c r="AR515" s="49" t="e">
        <f t="shared" si="183"/>
        <v>#N/A</v>
      </c>
    </row>
    <row r="516" spans="1:44" ht="15">
      <c r="A516" s="38"/>
      <c r="B516" s="38"/>
      <c r="C516" s="38"/>
      <c r="D516" s="38"/>
      <c r="E516" s="38"/>
      <c r="F516" s="38"/>
      <c r="G516" s="47">
        <f t="shared" si="165"/>
        <v>6.5978850116714893E-2</v>
      </c>
      <c r="H516" s="44"/>
      <c r="I516" s="44"/>
      <c r="J516" s="45">
        <f t="shared" si="185"/>
        <v>0</v>
      </c>
      <c r="K516" s="38"/>
      <c r="L516" s="38"/>
      <c r="M516" s="38"/>
      <c r="N516" s="34" t="e">
        <f>VLOOKUP(F516,'GHG Emissions Factors'!$B$2:$C$4000,2,FALSE)</f>
        <v>#N/A</v>
      </c>
      <c r="O516" s="45" t="e">
        <f t="shared" si="166"/>
        <v>#N/A</v>
      </c>
      <c r="P516" s="34">
        <f>IF(L516="yes", 0, _xlfn.XLOOKUP(F516, 'GHG Emissions Factors'!$B$2:$B$4000, 'GHG Emissions Factors'!$D$2:$D$4000, 0))</f>
        <v>0</v>
      </c>
      <c r="Q516" s="46"/>
      <c r="R516" s="46"/>
      <c r="S516" s="46">
        <f>ProcurementAllocationData[[#This Row],[Net MWhs Procured]]-(ProcurementAllocationData[[#This Row],[Deep Green]]+ProcurementAllocationData[[#This Row],[LocalSol]]+ProcurementAllocationData[[#This Row],[GreenAccess]])</f>
        <v>0</v>
      </c>
      <c r="T516" s="46"/>
      <c r="U516" s="46"/>
      <c r="V516" s="46"/>
      <c r="W516" s="46"/>
      <c r="X516" s="46"/>
      <c r="Y516" s="112">
        <f t="shared" si="167"/>
        <v>0</v>
      </c>
      <c r="Z516" s="150">
        <f t="shared" si="168"/>
        <v>0</v>
      </c>
      <c r="AA516" s="150">
        <f t="shared" si="169"/>
        <v>0</v>
      </c>
      <c r="AB516" s="113">
        <f t="shared" si="170"/>
        <v>0</v>
      </c>
      <c r="AC516" s="36"/>
      <c r="AD516" s="272" t="str">
        <f t="shared" si="171"/>
        <v/>
      </c>
      <c r="AE516" s="273">
        <f t="shared" si="172"/>
        <v>0</v>
      </c>
      <c r="AF516" s="273">
        <f t="shared" si="173"/>
        <v>0</v>
      </c>
      <c r="AG516" s="273">
        <f t="shared" si="174"/>
        <v>0</v>
      </c>
      <c r="AH516" s="273">
        <f t="shared" si="175"/>
        <v>0</v>
      </c>
      <c r="AI516" s="273">
        <f t="shared" si="176"/>
        <v>0</v>
      </c>
      <c r="AJ516" s="273">
        <f t="shared" si="177"/>
        <v>0</v>
      </c>
      <c r="AK516" s="273">
        <f t="shared" si="178"/>
        <v>0</v>
      </c>
      <c r="AL516" s="274">
        <f t="shared" si="179"/>
        <v>0</v>
      </c>
      <c r="AN516" s="75" t="str">
        <f t="shared" si="180"/>
        <v>-</v>
      </c>
      <c r="AO516" s="75" t="str">
        <f t="shared" si="181"/>
        <v>-</v>
      </c>
      <c r="AP516" s="48">
        <f t="shared" si="184"/>
        <v>0</v>
      </c>
      <c r="AQ516" s="48">
        <f t="shared" si="182"/>
        <v>0</v>
      </c>
      <c r="AR516" s="49" t="e">
        <f t="shared" si="183"/>
        <v>#N/A</v>
      </c>
    </row>
    <row r="517" spans="1:44" ht="15">
      <c r="A517" s="38"/>
      <c r="B517" s="38"/>
      <c r="C517" s="38"/>
      <c r="D517" s="38"/>
      <c r="E517" s="38"/>
      <c r="F517" s="38"/>
      <c r="G517" s="47">
        <f t="shared" si="165"/>
        <v>6.5978850116714893E-2</v>
      </c>
      <c r="H517" s="44"/>
      <c r="I517" s="44"/>
      <c r="J517" s="45">
        <f t="shared" si="185"/>
        <v>0</v>
      </c>
      <c r="K517" s="38"/>
      <c r="L517" s="38"/>
      <c r="M517" s="38"/>
      <c r="N517" s="34" t="e">
        <f>VLOOKUP(F517,'GHG Emissions Factors'!$B$2:$C$4000,2,FALSE)</f>
        <v>#N/A</v>
      </c>
      <c r="O517" s="45" t="e">
        <f t="shared" si="166"/>
        <v>#N/A</v>
      </c>
      <c r="P517" s="34">
        <f>IF(L517="yes", 0, _xlfn.XLOOKUP(F517, 'GHG Emissions Factors'!$B$2:$B$4000, 'GHG Emissions Factors'!$D$2:$D$4000, 0))</f>
        <v>0</v>
      </c>
      <c r="Q517" s="46"/>
      <c r="R517" s="46"/>
      <c r="S517" s="46">
        <f>ProcurementAllocationData[[#This Row],[Net MWhs Procured]]-(ProcurementAllocationData[[#This Row],[Deep Green]]+ProcurementAllocationData[[#This Row],[LocalSol]]+ProcurementAllocationData[[#This Row],[GreenAccess]])</f>
        <v>0</v>
      </c>
      <c r="T517" s="46"/>
      <c r="U517" s="46"/>
      <c r="V517" s="46"/>
      <c r="W517" s="46"/>
      <c r="X517" s="46"/>
      <c r="Y517" s="112">
        <f t="shared" si="167"/>
        <v>0</v>
      </c>
      <c r="Z517" s="150">
        <f t="shared" si="168"/>
        <v>0</v>
      </c>
      <c r="AA517" s="150">
        <f t="shared" si="169"/>
        <v>0</v>
      </c>
      <c r="AB517" s="113">
        <f t="shared" si="170"/>
        <v>0</v>
      </c>
      <c r="AC517" s="36"/>
      <c r="AD517" s="272" t="str">
        <f t="shared" si="171"/>
        <v/>
      </c>
      <c r="AE517" s="273">
        <f t="shared" si="172"/>
        <v>0</v>
      </c>
      <c r="AF517" s="273">
        <f t="shared" si="173"/>
        <v>0</v>
      </c>
      <c r="AG517" s="273">
        <f t="shared" si="174"/>
        <v>0</v>
      </c>
      <c r="AH517" s="273">
        <f t="shared" si="175"/>
        <v>0</v>
      </c>
      <c r="AI517" s="273">
        <f t="shared" si="176"/>
        <v>0</v>
      </c>
      <c r="AJ517" s="273">
        <f t="shared" si="177"/>
        <v>0</v>
      </c>
      <c r="AK517" s="273">
        <f t="shared" si="178"/>
        <v>0</v>
      </c>
      <c r="AL517" s="274">
        <f t="shared" si="179"/>
        <v>0</v>
      </c>
      <c r="AN517" s="75" t="str">
        <f t="shared" si="180"/>
        <v>-</v>
      </c>
      <c r="AO517" s="75" t="str">
        <f t="shared" si="181"/>
        <v>-</v>
      </c>
      <c r="AP517" s="48">
        <f t="shared" si="184"/>
        <v>0</v>
      </c>
      <c r="AQ517" s="48">
        <f t="shared" si="182"/>
        <v>0</v>
      </c>
      <c r="AR517" s="49" t="e">
        <f t="shared" si="183"/>
        <v>#N/A</v>
      </c>
    </row>
    <row r="518" spans="1:44" ht="15">
      <c r="A518" s="38"/>
      <c r="B518" s="38"/>
      <c r="C518" s="38"/>
      <c r="D518" s="38"/>
      <c r="E518" s="38"/>
      <c r="F518" s="38"/>
      <c r="G518" s="47">
        <f t="shared" si="165"/>
        <v>6.5978850116714893E-2</v>
      </c>
      <c r="H518" s="44"/>
      <c r="I518" s="44"/>
      <c r="J518" s="45">
        <f t="shared" si="185"/>
        <v>0</v>
      </c>
      <c r="K518" s="38"/>
      <c r="L518" s="38"/>
      <c r="M518" s="38"/>
      <c r="N518" s="34" t="e">
        <f>VLOOKUP(F518,'GHG Emissions Factors'!$B$2:$C$4000,2,FALSE)</f>
        <v>#N/A</v>
      </c>
      <c r="O518" s="45" t="e">
        <f t="shared" si="166"/>
        <v>#N/A</v>
      </c>
      <c r="P518" s="34">
        <f>IF(L518="yes", 0, _xlfn.XLOOKUP(F518, 'GHG Emissions Factors'!$B$2:$B$4000, 'GHG Emissions Factors'!$D$2:$D$4000, 0))</f>
        <v>0</v>
      </c>
      <c r="Q518" s="46"/>
      <c r="R518" s="46"/>
      <c r="S518" s="46">
        <f>ProcurementAllocationData[[#This Row],[Net MWhs Procured]]-(ProcurementAllocationData[[#This Row],[Deep Green]]+ProcurementAllocationData[[#This Row],[LocalSol]]+ProcurementAllocationData[[#This Row],[GreenAccess]])</f>
        <v>0</v>
      </c>
      <c r="T518" s="46"/>
      <c r="U518" s="46"/>
      <c r="V518" s="46"/>
      <c r="W518" s="46"/>
      <c r="X518" s="46"/>
      <c r="Y518" s="112">
        <f t="shared" si="167"/>
        <v>0</v>
      </c>
      <c r="Z518" s="150">
        <f t="shared" si="168"/>
        <v>0</v>
      </c>
      <c r="AA518" s="150">
        <f t="shared" si="169"/>
        <v>0</v>
      </c>
      <c r="AB518" s="113">
        <f t="shared" si="170"/>
        <v>0</v>
      </c>
      <c r="AC518" s="36"/>
      <c r="AD518" s="272" t="str">
        <f t="shared" si="171"/>
        <v/>
      </c>
      <c r="AE518" s="273">
        <f t="shared" si="172"/>
        <v>0</v>
      </c>
      <c r="AF518" s="273">
        <f t="shared" si="173"/>
        <v>0</v>
      </c>
      <c r="AG518" s="273">
        <f t="shared" si="174"/>
        <v>0</v>
      </c>
      <c r="AH518" s="273">
        <f t="shared" si="175"/>
        <v>0</v>
      </c>
      <c r="AI518" s="273">
        <f t="shared" si="176"/>
        <v>0</v>
      </c>
      <c r="AJ518" s="273">
        <f t="shared" si="177"/>
        <v>0</v>
      </c>
      <c r="AK518" s="273">
        <f t="shared" si="178"/>
        <v>0</v>
      </c>
      <c r="AL518" s="274">
        <f t="shared" si="179"/>
        <v>0</v>
      </c>
      <c r="AN518" s="75" t="str">
        <f t="shared" si="180"/>
        <v>-</v>
      </c>
      <c r="AO518" s="75" t="str">
        <f t="shared" si="181"/>
        <v>-</v>
      </c>
      <c r="AP518" s="48">
        <f t="shared" si="184"/>
        <v>0</v>
      </c>
      <c r="AQ518" s="48">
        <f t="shared" si="182"/>
        <v>0</v>
      </c>
      <c r="AR518" s="49" t="e">
        <f t="shared" si="183"/>
        <v>#N/A</v>
      </c>
    </row>
    <row r="519" spans="1:44" ht="15">
      <c r="A519" s="38"/>
      <c r="B519" s="38"/>
      <c r="C519" s="38"/>
      <c r="D519" s="38"/>
      <c r="E519" s="38"/>
      <c r="F519" s="38"/>
      <c r="G519" s="47">
        <f t="shared" si="165"/>
        <v>6.5978850116714893E-2</v>
      </c>
      <c r="H519" s="44"/>
      <c r="I519" s="44"/>
      <c r="J519" s="45">
        <f t="shared" si="185"/>
        <v>0</v>
      </c>
      <c r="K519" s="38"/>
      <c r="L519" s="38"/>
      <c r="M519" s="38"/>
      <c r="N519" s="34" t="e">
        <f>VLOOKUP(F519,'GHG Emissions Factors'!$B$2:$C$4000,2,FALSE)</f>
        <v>#N/A</v>
      </c>
      <c r="O519" s="45" t="e">
        <f t="shared" si="166"/>
        <v>#N/A</v>
      </c>
      <c r="P519" s="34">
        <f>IF(L519="yes", 0, _xlfn.XLOOKUP(F519, 'GHG Emissions Factors'!$B$2:$B$4000, 'GHG Emissions Factors'!$D$2:$D$4000, 0))</f>
        <v>0</v>
      </c>
      <c r="Q519" s="46"/>
      <c r="R519" s="46"/>
      <c r="S519" s="46">
        <f>ProcurementAllocationData[[#This Row],[Net MWhs Procured]]-(ProcurementAllocationData[[#This Row],[Deep Green]]+ProcurementAllocationData[[#This Row],[LocalSol]]+ProcurementAllocationData[[#This Row],[GreenAccess]])</f>
        <v>0</v>
      </c>
      <c r="T519" s="46"/>
      <c r="U519" s="46"/>
      <c r="V519" s="46"/>
      <c r="W519" s="46"/>
      <c r="X519" s="46"/>
      <c r="Y519" s="112">
        <f t="shared" si="167"/>
        <v>0</v>
      </c>
      <c r="Z519" s="150">
        <f t="shared" si="168"/>
        <v>0</v>
      </c>
      <c r="AA519" s="150">
        <f t="shared" si="169"/>
        <v>0</v>
      </c>
      <c r="AB519" s="113">
        <f t="shared" si="170"/>
        <v>0</v>
      </c>
      <c r="AC519" s="36"/>
      <c r="AD519" s="272" t="str">
        <f t="shared" si="171"/>
        <v/>
      </c>
      <c r="AE519" s="273">
        <f t="shared" si="172"/>
        <v>0</v>
      </c>
      <c r="AF519" s="273">
        <f t="shared" si="173"/>
        <v>0</v>
      </c>
      <c r="AG519" s="273">
        <f t="shared" si="174"/>
        <v>0</v>
      </c>
      <c r="AH519" s="273">
        <f t="shared" si="175"/>
        <v>0</v>
      </c>
      <c r="AI519" s="273">
        <f t="shared" si="176"/>
        <v>0</v>
      </c>
      <c r="AJ519" s="273">
        <f t="shared" si="177"/>
        <v>0</v>
      </c>
      <c r="AK519" s="273">
        <f t="shared" si="178"/>
        <v>0</v>
      </c>
      <c r="AL519" s="274">
        <f t="shared" si="179"/>
        <v>0</v>
      </c>
      <c r="AN519" s="75" t="str">
        <f t="shared" si="180"/>
        <v>-</v>
      </c>
      <c r="AO519" s="75" t="str">
        <f t="shared" si="181"/>
        <v>-</v>
      </c>
      <c r="AP519" s="48">
        <f t="shared" si="184"/>
        <v>0</v>
      </c>
      <c r="AQ519" s="48">
        <f t="shared" si="182"/>
        <v>0</v>
      </c>
      <c r="AR519" s="49" t="e">
        <f t="shared" si="183"/>
        <v>#N/A</v>
      </c>
    </row>
    <row r="520" spans="1:44" ht="15">
      <c r="A520" s="38"/>
      <c r="B520" s="38"/>
      <c r="C520" s="38"/>
      <c r="D520" s="38"/>
      <c r="E520" s="38"/>
      <c r="F520" s="38"/>
      <c r="G520" s="47">
        <f t="shared" si="165"/>
        <v>6.5978850116714893E-2</v>
      </c>
      <c r="H520" s="44"/>
      <c r="I520" s="44"/>
      <c r="J520" s="45">
        <f t="shared" si="185"/>
        <v>0</v>
      </c>
      <c r="K520" s="38"/>
      <c r="L520" s="38"/>
      <c r="M520" s="38"/>
      <c r="N520" s="34" t="e">
        <f>VLOOKUP(F520,'GHG Emissions Factors'!$B$2:$C$4000,2,FALSE)</f>
        <v>#N/A</v>
      </c>
      <c r="O520" s="45" t="e">
        <f t="shared" si="166"/>
        <v>#N/A</v>
      </c>
      <c r="P520" s="34">
        <f>IF(L520="yes", 0, _xlfn.XLOOKUP(F520, 'GHG Emissions Factors'!$B$2:$B$4000, 'GHG Emissions Factors'!$D$2:$D$4000, 0))</f>
        <v>0</v>
      </c>
      <c r="Q520" s="46"/>
      <c r="R520" s="46"/>
      <c r="S520" s="46">
        <f>ProcurementAllocationData[[#This Row],[Net MWhs Procured]]-(ProcurementAllocationData[[#This Row],[Deep Green]]+ProcurementAllocationData[[#This Row],[LocalSol]]+ProcurementAllocationData[[#This Row],[GreenAccess]])</f>
        <v>0</v>
      </c>
      <c r="T520" s="46"/>
      <c r="U520" s="46"/>
      <c r="V520" s="46"/>
      <c r="W520" s="46"/>
      <c r="X520" s="46"/>
      <c r="Y520" s="112">
        <f t="shared" si="167"/>
        <v>0</v>
      </c>
      <c r="Z520" s="150">
        <f t="shared" si="168"/>
        <v>0</v>
      </c>
      <c r="AA520" s="150">
        <f t="shared" si="169"/>
        <v>0</v>
      </c>
      <c r="AB520" s="113">
        <f t="shared" si="170"/>
        <v>0</v>
      </c>
      <c r="AC520" s="36"/>
      <c r="AD520" s="272" t="str">
        <f t="shared" si="171"/>
        <v/>
      </c>
      <c r="AE520" s="273">
        <f t="shared" si="172"/>
        <v>0</v>
      </c>
      <c r="AF520" s="273">
        <f t="shared" si="173"/>
        <v>0</v>
      </c>
      <c r="AG520" s="273">
        <f t="shared" si="174"/>
        <v>0</v>
      </c>
      <c r="AH520" s="273">
        <f t="shared" si="175"/>
        <v>0</v>
      </c>
      <c r="AI520" s="273">
        <f t="shared" si="176"/>
        <v>0</v>
      </c>
      <c r="AJ520" s="273">
        <f t="shared" si="177"/>
        <v>0</v>
      </c>
      <c r="AK520" s="273">
        <f t="shared" si="178"/>
        <v>0</v>
      </c>
      <c r="AL520" s="274">
        <f t="shared" si="179"/>
        <v>0</v>
      </c>
      <c r="AN520" s="75" t="str">
        <f t="shared" si="180"/>
        <v>-</v>
      </c>
      <c r="AO520" s="75" t="str">
        <f t="shared" si="181"/>
        <v>-</v>
      </c>
      <c r="AP520" s="48">
        <f t="shared" si="184"/>
        <v>0</v>
      </c>
      <c r="AQ520" s="48">
        <f t="shared" si="182"/>
        <v>0</v>
      </c>
      <c r="AR520" s="49" t="e">
        <f t="shared" si="183"/>
        <v>#N/A</v>
      </c>
    </row>
    <row r="521" spans="1:44" ht="15">
      <c r="A521" s="38"/>
      <c r="B521" s="38"/>
      <c r="C521" s="38"/>
      <c r="D521" s="38"/>
      <c r="E521" s="38"/>
      <c r="F521" s="38"/>
      <c r="G521" s="47">
        <f t="shared" si="165"/>
        <v>6.5978850116714893E-2</v>
      </c>
      <c r="H521" s="44"/>
      <c r="I521" s="44"/>
      <c r="J521" s="45">
        <f t="shared" si="185"/>
        <v>0</v>
      </c>
      <c r="K521" s="38"/>
      <c r="L521" s="38"/>
      <c r="M521" s="38"/>
      <c r="N521" s="34" t="e">
        <f>VLOOKUP(F521,'GHG Emissions Factors'!$B$2:$C$4000,2,FALSE)</f>
        <v>#N/A</v>
      </c>
      <c r="O521" s="45" t="e">
        <f t="shared" si="166"/>
        <v>#N/A</v>
      </c>
      <c r="P521" s="34">
        <f>IF(L521="yes", 0, _xlfn.XLOOKUP(F521, 'GHG Emissions Factors'!$B$2:$B$4000, 'GHG Emissions Factors'!$D$2:$D$4000, 0))</f>
        <v>0</v>
      </c>
      <c r="Q521" s="46"/>
      <c r="R521" s="46"/>
      <c r="S521" s="46">
        <f>ProcurementAllocationData[[#This Row],[Net MWhs Procured]]-(ProcurementAllocationData[[#This Row],[Deep Green]]+ProcurementAllocationData[[#This Row],[LocalSol]]+ProcurementAllocationData[[#This Row],[GreenAccess]])</f>
        <v>0</v>
      </c>
      <c r="T521" s="46"/>
      <c r="U521" s="46"/>
      <c r="V521" s="46"/>
      <c r="W521" s="46"/>
      <c r="X521" s="46"/>
      <c r="Y521" s="112">
        <f t="shared" si="167"/>
        <v>0</v>
      </c>
      <c r="Z521" s="150">
        <f t="shared" si="168"/>
        <v>0</v>
      </c>
      <c r="AA521" s="150">
        <f t="shared" si="169"/>
        <v>0</v>
      </c>
      <c r="AB521" s="113">
        <f t="shared" si="170"/>
        <v>0</v>
      </c>
      <c r="AC521" s="36"/>
      <c r="AD521" s="272" t="str">
        <f t="shared" si="171"/>
        <v/>
      </c>
      <c r="AE521" s="273">
        <f t="shared" si="172"/>
        <v>0</v>
      </c>
      <c r="AF521" s="273">
        <f t="shared" si="173"/>
        <v>0</v>
      </c>
      <c r="AG521" s="273">
        <f t="shared" si="174"/>
        <v>0</v>
      </c>
      <c r="AH521" s="273">
        <f t="shared" si="175"/>
        <v>0</v>
      </c>
      <c r="AI521" s="273">
        <f t="shared" si="176"/>
        <v>0</v>
      </c>
      <c r="AJ521" s="273">
        <f t="shared" si="177"/>
        <v>0</v>
      </c>
      <c r="AK521" s="273">
        <f t="shared" si="178"/>
        <v>0</v>
      </c>
      <c r="AL521" s="274">
        <f t="shared" si="179"/>
        <v>0</v>
      </c>
      <c r="AN521" s="75" t="str">
        <f t="shared" si="180"/>
        <v>-</v>
      </c>
      <c r="AO521" s="75" t="str">
        <f t="shared" si="181"/>
        <v>-</v>
      </c>
      <c r="AP521" s="48">
        <f t="shared" si="184"/>
        <v>0</v>
      </c>
      <c r="AQ521" s="48">
        <f t="shared" si="182"/>
        <v>0</v>
      </c>
      <c r="AR521" s="49" t="e">
        <f t="shared" si="183"/>
        <v>#N/A</v>
      </c>
    </row>
    <row r="522" spans="1:44" ht="15">
      <c r="A522" s="38"/>
      <c r="B522" s="38"/>
      <c r="C522" s="38"/>
      <c r="D522" s="38"/>
      <c r="E522" s="38"/>
      <c r="F522" s="38"/>
      <c r="G522" s="47">
        <f t="shared" si="165"/>
        <v>6.5978850116714893E-2</v>
      </c>
      <c r="H522" s="44"/>
      <c r="I522" s="44"/>
      <c r="J522" s="45">
        <f t="shared" si="185"/>
        <v>0</v>
      </c>
      <c r="K522" s="38"/>
      <c r="L522" s="38"/>
      <c r="M522" s="38"/>
      <c r="N522" s="34" t="e">
        <f>VLOOKUP(F522,'GHG Emissions Factors'!$B$2:$C$4000,2,FALSE)</f>
        <v>#N/A</v>
      </c>
      <c r="O522" s="45" t="e">
        <f t="shared" si="166"/>
        <v>#N/A</v>
      </c>
      <c r="P522" s="34">
        <f>IF(L522="yes", 0, _xlfn.XLOOKUP(F522, 'GHG Emissions Factors'!$B$2:$B$4000, 'GHG Emissions Factors'!$D$2:$D$4000, 0))</f>
        <v>0</v>
      </c>
      <c r="Q522" s="46"/>
      <c r="R522" s="46"/>
      <c r="S522" s="46">
        <f>ProcurementAllocationData[[#This Row],[Net MWhs Procured]]-(ProcurementAllocationData[[#This Row],[Deep Green]]+ProcurementAllocationData[[#This Row],[LocalSol]]+ProcurementAllocationData[[#This Row],[GreenAccess]])</f>
        <v>0</v>
      </c>
      <c r="T522" s="46"/>
      <c r="U522" s="46"/>
      <c r="V522" s="46"/>
      <c r="W522" s="46"/>
      <c r="X522" s="46"/>
      <c r="Y522" s="112">
        <f t="shared" si="167"/>
        <v>0</v>
      </c>
      <c r="Z522" s="150">
        <f t="shared" si="168"/>
        <v>0</v>
      </c>
      <c r="AA522" s="150">
        <f t="shared" si="169"/>
        <v>0</v>
      </c>
      <c r="AB522" s="113">
        <f t="shared" si="170"/>
        <v>0</v>
      </c>
      <c r="AC522" s="36"/>
      <c r="AD522" s="272" t="str">
        <f t="shared" si="171"/>
        <v/>
      </c>
      <c r="AE522" s="273">
        <f t="shared" si="172"/>
        <v>0</v>
      </c>
      <c r="AF522" s="273">
        <f t="shared" si="173"/>
        <v>0</v>
      </c>
      <c r="AG522" s="273">
        <f t="shared" si="174"/>
        <v>0</v>
      </c>
      <c r="AH522" s="273">
        <f t="shared" si="175"/>
        <v>0</v>
      </c>
      <c r="AI522" s="273">
        <f t="shared" si="176"/>
        <v>0</v>
      </c>
      <c r="AJ522" s="273">
        <f t="shared" si="177"/>
        <v>0</v>
      </c>
      <c r="AK522" s="273">
        <f t="shared" si="178"/>
        <v>0</v>
      </c>
      <c r="AL522" s="274">
        <f t="shared" si="179"/>
        <v>0</v>
      </c>
      <c r="AN522" s="75" t="str">
        <f t="shared" si="180"/>
        <v>-</v>
      </c>
      <c r="AO522" s="75" t="str">
        <f t="shared" si="181"/>
        <v>-</v>
      </c>
      <c r="AP522" s="48">
        <f t="shared" si="184"/>
        <v>0</v>
      </c>
      <c r="AQ522" s="48">
        <f t="shared" si="182"/>
        <v>0</v>
      </c>
      <c r="AR522" s="49" t="e">
        <f t="shared" si="183"/>
        <v>#N/A</v>
      </c>
    </row>
    <row r="523" spans="1:44" ht="15">
      <c r="A523" s="38"/>
      <c r="B523" s="38"/>
      <c r="C523" s="38"/>
      <c r="D523" s="38"/>
      <c r="E523" s="38"/>
      <c r="F523" s="38"/>
      <c r="G523" s="47">
        <f t="shared" si="165"/>
        <v>6.5978850116714893E-2</v>
      </c>
      <c r="H523" s="44"/>
      <c r="I523" s="44"/>
      <c r="J523" s="45">
        <f t="shared" si="185"/>
        <v>0</v>
      </c>
      <c r="K523" s="38"/>
      <c r="L523" s="38"/>
      <c r="M523" s="38"/>
      <c r="N523" s="34" t="e">
        <f>VLOOKUP(F523,'GHG Emissions Factors'!$B$2:$C$4000,2,FALSE)</f>
        <v>#N/A</v>
      </c>
      <c r="O523" s="45" t="e">
        <f t="shared" si="166"/>
        <v>#N/A</v>
      </c>
      <c r="P523" s="34">
        <f>IF(L523="yes", 0, _xlfn.XLOOKUP(F523, 'GHG Emissions Factors'!$B$2:$B$4000, 'GHG Emissions Factors'!$D$2:$D$4000, 0))</f>
        <v>0</v>
      </c>
      <c r="Q523" s="46"/>
      <c r="R523" s="46"/>
      <c r="S523" s="46">
        <f>ProcurementAllocationData[[#This Row],[Net MWhs Procured]]-(ProcurementAllocationData[[#This Row],[Deep Green]]+ProcurementAllocationData[[#This Row],[LocalSol]]+ProcurementAllocationData[[#This Row],[GreenAccess]])</f>
        <v>0</v>
      </c>
      <c r="T523" s="46"/>
      <c r="U523" s="46"/>
      <c r="V523" s="46"/>
      <c r="W523" s="46"/>
      <c r="X523" s="46"/>
      <c r="Y523" s="112">
        <f t="shared" si="167"/>
        <v>0</v>
      </c>
      <c r="Z523" s="150">
        <f t="shared" si="168"/>
        <v>0</v>
      </c>
      <c r="AA523" s="150">
        <f t="shared" si="169"/>
        <v>0</v>
      </c>
      <c r="AB523" s="113">
        <f t="shared" si="170"/>
        <v>0</v>
      </c>
      <c r="AC523" s="36"/>
      <c r="AD523" s="272" t="str">
        <f t="shared" si="171"/>
        <v/>
      </c>
      <c r="AE523" s="273">
        <f t="shared" si="172"/>
        <v>0</v>
      </c>
      <c r="AF523" s="273">
        <f t="shared" si="173"/>
        <v>0</v>
      </c>
      <c r="AG523" s="273">
        <f t="shared" si="174"/>
        <v>0</v>
      </c>
      <c r="AH523" s="273">
        <f t="shared" si="175"/>
        <v>0</v>
      </c>
      <c r="AI523" s="273">
        <f t="shared" si="176"/>
        <v>0</v>
      </c>
      <c r="AJ523" s="273">
        <f t="shared" si="177"/>
        <v>0</v>
      </c>
      <c r="AK523" s="273">
        <f t="shared" si="178"/>
        <v>0</v>
      </c>
      <c r="AL523" s="274">
        <f t="shared" si="179"/>
        <v>0</v>
      </c>
      <c r="AN523" s="75" t="str">
        <f t="shared" si="180"/>
        <v>-</v>
      </c>
      <c r="AO523" s="75" t="str">
        <f t="shared" si="181"/>
        <v>-</v>
      </c>
      <c r="AP523" s="48">
        <f t="shared" si="184"/>
        <v>0</v>
      </c>
      <c r="AQ523" s="48">
        <f t="shared" si="182"/>
        <v>0</v>
      </c>
      <c r="AR523" s="49" t="e">
        <f t="shared" si="183"/>
        <v>#N/A</v>
      </c>
    </row>
    <row r="524" spans="1:44" ht="15">
      <c r="A524" s="38"/>
      <c r="B524" s="38"/>
      <c r="C524" s="38"/>
      <c r="D524" s="38"/>
      <c r="E524" s="38"/>
      <c r="F524" s="38"/>
      <c r="G524" s="47">
        <f t="shared" si="165"/>
        <v>6.5978850116714893E-2</v>
      </c>
      <c r="H524" s="44"/>
      <c r="I524" s="44"/>
      <c r="J524" s="45">
        <f t="shared" si="185"/>
        <v>0</v>
      </c>
      <c r="K524" s="38"/>
      <c r="L524" s="38"/>
      <c r="M524" s="38"/>
      <c r="N524" s="34" t="e">
        <f>VLOOKUP(F524,'GHG Emissions Factors'!$B$2:$C$4000,2,FALSE)</f>
        <v>#N/A</v>
      </c>
      <c r="O524" s="45" t="e">
        <f t="shared" si="166"/>
        <v>#N/A</v>
      </c>
      <c r="P524" s="34">
        <f>IF(L524="yes", 0, _xlfn.XLOOKUP(F524, 'GHG Emissions Factors'!$B$2:$B$4000, 'GHG Emissions Factors'!$D$2:$D$4000, 0))</f>
        <v>0</v>
      </c>
      <c r="Q524" s="46"/>
      <c r="R524" s="46"/>
      <c r="S524" s="46">
        <f>ProcurementAllocationData[[#This Row],[Net MWhs Procured]]-(ProcurementAllocationData[[#This Row],[Deep Green]]+ProcurementAllocationData[[#This Row],[LocalSol]]+ProcurementAllocationData[[#This Row],[GreenAccess]])</f>
        <v>0</v>
      </c>
      <c r="T524" s="46"/>
      <c r="U524" s="46"/>
      <c r="V524" s="46"/>
      <c r="W524" s="46"/>
      <c r="X524" s="46"/>
      <c r="Y524" s="112">
        <f t="shared" si="167"/>
        <v>0</v>
      </c>
      <c r="Z524" s="150">
        <f t="shared" si="168"/>
        <v>0</v>
      </c>
      <c r="AA524" s="150">
        <f t="shared" si="169"/>
        <v>0</v>
      </c>
      <c r="AB524" s="113">
        <f t="shared" si="170"/>
        <v>0</v>
      </c>
      <c r="AC524" s="36"/>
      <c r="AD524" s="272" t="str">
        <f t="shared" si="171"/>
        <v/>
      </c>
      <c r="AE524" s="273">
        <f t="shared" si="172"/>
        <v>0</v>
      </c>
      <c r="AF524" s="273">
        <f t="shared" si="173"/>
        <v>0</v>
      </c>
      <c r="AG524" s="273">
        <f t="shared" si="174"/>
        <v>0</v>
      </c>
      <c r="AH524" s="273">
        <f t="shared" si="175"/>
        <v>0</v>
      </c>
      <c r="AI524" s="273">
        <f t="shared" si="176"/>
        <v>0</v>
      </c>
      <c r="AJ524" s="273">
        <f t="shared" si="177"/>
        <v>0</v>
      </c>
      <c r="AK524" s="273">
        <f t="shared" si="178"/>
        <v>0</v>
      </c>
      <c r="AL524" s="274">
        <f t="shared" si="179"/>
        <v>0</v>
      </c>
      <c r="AN524" s="75" t="str">
        <f t="shared" si="180"/>
        <v>-</v>
      </c>
      <c r="AO524" s="75" t="str">
        <f t="shared" si="181"/>
        <v>-</v>
      </c>
      <c r="AP524" s="48">
        <f t="shared" si="184"/>
        <v>0</v>
      </c>
      <c r="AQ524" s="48">
        <f t="shared" si="182"/>
        <v>0</v>
      </c>
      <c r="AR524" s="49" t="e">
        <f t="shared" si="183"/>
        <v>#N/A</v>
      </c>
    </row>
    <row r="525" spans="1:44" ht="15">
      <c r="A525" s="38"/>
      <c r="B525" s="38"/>
      <c r="C525" s="38"/>
      <c r="D525" s="38"/>
      <c r="E525" s="38"/>
      <c r="F525" s="38"/>
      <c r="G525" s="47">
        <f t="shared" si="165"/>
        <v>6.5978850116714893E-2</v>
      </c>
      <c r="H525" s="44"/>
      <c r="I525" s="44"/>
      <c r="J525" s="45">
        <f t="shared" si="185"/>
        <v>0</v>
      </c>
      <c r="K525" s="38"/>
      <c r="L525" s="38"/>
      <c r="M525" s="38"/>
      <c r="N525" s="34" t="e">
        <f>VLOOKUP(F525,'GHG Emissions Factors'!$B$2:$C$4000,2,FALSE)</f>
        <v>#N/A</v>
      </c>
      <c r="O525" s="45" t="e">
        <f t="shared" si="166"/>
        <v>#N/A</v>
      </c>
      <c r="P525" s="34">
        <f>IF(L525="yes", 0, _xlfn.XLOOKUP(F525, 'GHG Emissions Factors'!$B$2:$B$4000, 'GHG Emissions Factors'!$D$2:$D$4000, 0))</f>
        <v>0</v>
      </c>
      <c r="Q525" s="46"/>
      <c r="R525" s="46"/>
      <c r="S525" s="46">
        <f>ProcurementAllocationData[[#This Row],[Net MWhs Procured]]-(ProcurementAllocationData[[#This Row],[Deep Green]]+ProcurementAllocationData[[#This Row],[LocalSol]]+ProcurementAllocationData[[#This Row],[GreenAccess]])</f>
        <v>0</v>
      </c>
      <c r="T525" s="46"/>
      <c r="U525" s="46"/>
      <c r="V525" s="46"/>
      <c r="W525" s="46"/>
      <c r="X525" s="46"/>
      <c r="Y525" s="112">
        <f t="shared" si="167"/>
        <v>0</v>
      </c>
      <c r="Z525" s="150">
        <f t="shared" si="168"/>
        <v>0</v>
      </c>
      <c r="AA525" s="150">
        <f t="shared" si="169"/>
        <v>0</v>
      </c>
      <c r="AB525" s="113">
        <f t="shared" si="170"/>
        <v>0</v>
      </c>
      <c r="AC525" s="36"/>
      <c r="AD525" s="272" t="str">
        <f t="shared" si="171"/>
        <v/>
      </c>
      <c r="AE525" s="273">
        <f t="shared" si="172"/>
        <v>0</v>
      </c>
      <c r="AF525" s="273">
        <f t="shared" si="173"/>
        <v>0</v>
      </c>
      <c r="AG525" s="273">
        <f t="shared" si="174"/>
        <v>0</v>
      </c>
      <c r="AH525" s="273">
        <f t="shared" si="175"/>
        <v>0</v>
      </c>
      <c r="AI525" s="273">
        <f t="shared" si="176"/>
        <v>0</v>
      </c>
      <c r="AJ525" s="273">
        <f t="shared" si="177"/>
        <v>0</v>
      </c>
      <c r="AK525" s="273">
        <f t="shared" si="178"/>
        <v>0</v>
      </c>
      <c r="AL525" s="274">
        <f t="shared" si="179"/>
        <v>0</v>
      </c>
      <c r="AN525" s="75" t="str">
        <f t="shared" si="180"/>
        <v>-</v>
      </c>
      <c r="AO525" s="75" t="str">
        <f t="shared" si="181"/>
        <v>-</v>
      </c>
      <c r="AP525" s="48">
        <f t="shared" si="184"/>
        <v>0</v>
      </c>
      <c r="AQ525" s="48">
        <f t="shared" si="182"/>
        <v>0</v>
      </c>
      <c r="AR525" s="49" t="e">
        <f t="shared" si="183"/>
        <v>#N/A</v>
      </c>
    </row>
    <row r="526" spans="1:44" ht="15">
      <c r="A526" s="38"/>
      <c r="B526" s="38"/>
      <c r="C526" s="38"/>
      <c r="D526" s="38"/>
      <c r="E526" s="38"/>
      <c r="F526" s="38"/>
      <c r="G526" s="47">
        <f t="shared" si="165"/>
        <v>6.5978850116714893E-2</v>
      </c>
      <c r="H526" s="44"/>
      <c r="I526" s="44"/>
      <c r="J526" s="45">
        <f t="shared" si="185"/>
        <v>0</v>
      </c>
      <c r="K526" s="38"/>
      <c r="L526" s="38"/>
      <c r="M526" s="38"/>
      <c r="N526" s="34" t="e">
        <f>VLOOKUP(F526,'GHG Emissions Factors'!$B$2:$C$4000,2,FALSE)</f>
        <v>#N/A</v>
      </c>
      <c r="O526" s="45" t="e">
        <f t="shared" si="166"/>
        <v>#N/A</v>
      </c>
      <c r="P526" s="34">
        <f>IF(L526="yes", 0, _xlfn.XLOOKUP(F526, 'GHG Emissions Factors'!$B$2:$B$4000, 'GHG Emissions Factors'!$D$2:$D$4000, 0))</f>
        <v>0</v>
      </c>
      <c r="Q526" s="46"/>
      <c r="R526" s="46"/>
      <c r="S526" s="46">
        <f>ProcurementAllocationData[[#This Row],[Net MWhs Procured]]-(ProcurementAllocationData[[#This Row],[Deep Green]]+ProcurementAllocationData[[#This Row],[LocalSol]]+ProcurementAllocationData[[#This Row],[GreenAccess]])</f>
        <v>0</v>
      </c>
      <c r="T526" s="46"/>
      <c r="U526" s="46"/>
      <c r="V526" s="46"/>
      <c r="W526" s="46"/>
      <c r="X526" s="46"/>
      <c r="Y526" s="112">
        <f t="shared" si="167"/>
        <v>0</v>
      </c>
      <c r="Z526" s="150">
        <f t="shared" si="168"/>
        <v>0</v>
      </c>
      <c r="AA526" s="150">
        <f t="shared" si="169"/>
        <v>0</v>
      </c>
      <c r="AB526" s="113">
        <f t="shared" si="170"/>
        <v>0</v>
      </c>
      <c r="AC526" s="36"/>
      <c r="AD526" s="272" t="str">
        <f t="shared" si="171"/>
        <v/>
      </c>
      <c r="AE526" s="273">
        <f t="shared" si="172"/>
        <v>0</v>
      </c>
      <c r="AF526" s="273">
        <f t="shared" si="173"/>
        <v>0</v>
      </c>
      <c r="AG526" s="273">
        <f t="shared" si="174"/>
        <v>0</v>
      </c>
      <c r="AH526" s="273">
        <f t="shared" si="175"/>
        <v>0</v>
      </c>
      <c r="AI526" s="273">
        <f t="shared" si="176"/>
        <v>0</v>
      </c>
      <c r="AJ526" s="273">
        <f t="shared" si="177"/>
        <v>0</v>
      </c>
      <c r="AK526" s="273">
        <f t="shared" si="178"/>
        <v>0</v>
      </c>
      <c r="AL526" s="274">
        <f t="shared" si="179"/>
        <v>0</v>
      </c>
      <c r="AN526" s="75" t="str">
        <f t="shared" si="180"/>
        <v>-</v>
      </c>
      <c r="AO526" s="75" t="str">
        <f t="shared" si="181"/>
        <v>-</v>
      </c>
      <c r="AP526" s="48">
        <f t="shared" si="184"/>
        <v>0</v>
      </c>
      <c r="AQ526" s="48">
        <f t="shared" si="182"/>
        <v>0</v>
      </c>
      <c r="AR526" s="49" t="e">
        <f t="shared" si="183"/>
        <v>#N/A</v>
      </c>
    </row>
    <row r="527" spans="1:44" ht="15">
      <c r="A527" s="38"/>
      <c r="B527" s="38"/>
      <c r="C527" s="38"/>
      <c r="D527" s="38"/>
      <c r="E527" s="38"/>
      <c r="F527" s="38"/>
      <c r="G527" s="47">
        <f t="shared" si="165"/>
        <v>6.5978850116714893E-2</v>
      </c>
      <c r="H527" s="44"/>
      <c r="I527" s="44"/>
      <c r="J527" s="45">
        <f t="shared" si="185"/>
        <v>0</v>
      </c>
      <c r="K527" s="38"/>
      <c r="L527" s="38"/>
      <c r="M527" s="38"/>
      <c r="N527" s="34" t="e">
        <f>VLOOKUP(F527,'GHG Emissions Factors'!$B$2:$C$4000,2,FALSE)</f>
        <v>#N/A</v>
      </c>
      <c r="O527" s="45" t="e">
        <f t="shared" si="166"/>
        <v>#N/A</v>
      </c>
      <c r="P527" s="34">
        <f>IF(L527="yes", 0, _xlfn.XLOOKUP(F527, 'GHG Emissions Factors'!$B$2:$B$4000, 'GHG Emissions Factors'!$D$2:$D$4000, 0))</f>
        <v>0</v>
      </c>
      <c r="Q527" s="46"/>
      <c r="R527" s="46"/>
      <c r="S527" s="46">
        <f>ProcurementAllocationData[[#This Row],[Net MWhs Procured]]-(ProcurementAllocationData[[#This Row],[Deep Green]]+ProcurementAllocationData[[#This Row],[LocalSol]]+ProcurementAllocationData[[#This Row],[GreenAccess]])</f>
        <v>0</v>
      </c>
      <c r="T527" s="46"/>
      <c r="U527" s="46"/>
      <c r="V527" s="46"/>
      <c r="W527" s="46"/>
      <c r="X527" s="46"/>
      <c r="Y527" s="112">
        <f t="shared" si="167"/>
        <v>0</v>
      </c>
      <c r="Z527" s="150">
        <f t="shared" si="168"/>
        <v>0</v>
      </c>
      <c r="AA527" s="150">
        <f t="shared" si="169"/>
        <v>0</v>
      </c>
      <c r="AB527" s="113">
        <f t="shared" si="170"/>
        <v>0</v>
      </c>
      <c r="AC527" s="36"/>
      <c r="AD527" s="272" t="str">
        <f t="shared" si="171"/>
        <v/>
      </c>
      <c r="AE527" s="273">
        <f t="shared" si="172"/>
        <v>0</v>
      </c>
      <c r="AF527" s="273">
        <f t="shared" si="173"/>
        <v>0</v>
      </c>
      <c r="AG527" s="273">
        <f t="shared" si="174"/>
        <v>0</v>
      </c>
      <c r="AH527" s="273">
        <f t="shared" si="175"/>
        <v>0</v>
      </c>
      <c r="AI527" s="273">
        <f t="shared" si="176"/>
        <v>0</v>
      </c>
      <c r="AJ527" s="273">
        <f t="shared" si="177"/>
        <v>0</v>
      </c>
      <c r="AK527" s="273">
        <f t="shared" si="178"/>
        <v>0</v>
      </c>
      <c r="AL527" s="274">
        <f t="shared" si="179"/>
        <v>0</v>
      </c>
      <c r="AN527" s="75" t="str">
        <f t="shared" si="180"/>
        <v>-</v>
      </c>
      <c r="AO527" s="75" t="str">
        <f t="shared" si="181"/>
        <v>-</v>
      </c>
      <c r="AP527" s="48">
        <f t="shared" si="184"/>
        <v>0</v>
      </c>
      <c r="AQ527" s="48">
        <f t="shared" si="182"/>
        <v>0</v>
      </c>
      <c r="AR527" s="49" t="e">
        <f t="shared" si="183"/>
        <v>#N/A</v>
      </c>
    </row>
    <row r="528" spans="1:44" ht="15">
      <c r="A528" s="38"/>
      <c r="B528" s="38"/>
      <c r="C528" s="38"/>
      <c r="D528" s="38"/>
      <c r="E528" s="38"/>
      <c r="F528" s="38"/>
      <c r="G528" s="47">
        <f t="shared" si="165"/>
        <v>6.5978850116714893E-2</v>
      </c>
      <c r="H528" s="44"/>
      <c r="I528" s="44"/>
      <c r="J528" s="45">
        <f t="shared" si="185"/>
        <v>0</v>
      </c>
      <c r="K528" s="38"/>
      <c r="L528" s="38"/>
      <c r="M528" s="38"/>
      <c r="N528" s="34" t="e">
        <f>VLOOKUP(F528,'GHG Emissions Factors'!$B$2:$C$4000,2,FALSE)</f>
        <v>#N/A</v>
      </c>
      <c r="O528" s="45" t="e">
        <f t="shared" si="166"/>
        <v>#N/A</v>
      </c>
      <c r="P528" s="34">
        <f>IF(L528="yes", 0, _xlfn.XLOOKUP(F528, 'GHG Emissions Factors'!$B$2:$B$4000, 'GHG Emissions Factors'!$D$2:$D$4000, 0))</f>
        <v>0</v>
      </c>
      <c r="Q528" s="46"/>
      <c r="R528" s="46"/>
      <c r="S528" s="46">
        <f>ProcurementAllocationData[[#This Row],[Net MWhs Procured]]-(ProcurementAllocationData[[#This Row],[Deep Green]]+ProcurementAllocationData[[#This Row],[LocalSol]]+ProcurementAllocationData[[#This Row],[GreenAccess]])</f>
        <v>0</v>
      </c>
      <c r="T528" s="46"/>
      <c r="U528" s="46"/>
      <c r="V528" s="46"/>
      <c r="W528" s="46"/>
      <c r="X528" s="46"/>
      <c r="Y528" s="112">
        <f t="shared" si="167"/>
        <v>0</v>
      </c>
      <c r="Z528" s="150">
        <f t="shared" si="168"/>
        <v>0</v>
      </c>
      <c r="AA528" s="150">
        <f t="shared" si="169"/>
        <v>0</v>
      </c>
      <c r="AB528" s="113">
        <f t="shared" si="170"/>
        <v>0</v>
      </c>
      <c r="AC528" s="36"/>
      <c r="AD528" s="272" t="str">
        <f t="shared" si="171"/>
        <v/>
      </c>
      <c r="AE528" s="273">
        <f t="shared" si="172"/>
        <v>0</v>
      </c>
      <c r="AF528" s="273">
        <f t="shared" si="173"/>
        <v>0</v>
      </c>
      <c r="AG528" s="273">
        <f t="shared" si="174"/>
        <v>0</v>
      </c>
      <c r="AH528" s="273">
        <f t="shared" si="175"/>
        <v>0</v>
      </c>
      <c r="AI528" s="273">
        <f t="shared" si="176"/>
        <v>0</v>
      </c>
      <c r="AJ528" s="273">
        <f t="shared" si="177"/>
        <v>0</v>
      </c>
      <c r="AK528" s="273">
        <f t="shared" si="178"/>
        <v>0</v>
      </c>
      <c r="AL528" s="274">
        <f t="shared" si="179"/>
        <v>0</v>
      </c>
      <c r="AN528" s="75" t="str">
        <f t="shared" si="180"/>
        <v>-</v>
      </c>
      <c r="AO528" s="75" t="str">
        <f t="shared" si="181"/>
        <v>-</v>
      </c>
      <c r="AP528" s="48">
        <f t="shared" si="184"/>
        <v>0</v>
      </c>
      <c r="AQ528" s="48">
        <f t="shared" si="182"/>
        <v>0</v>
      </c>
      <c r="AR528" s="49" t="e">
        <f t="shared" si="183"/>
        <v>#N/A</v>
      </c>
    </row>
    <row r="529" spans="1:44" ht="15">
      <c r="A529" s="38"/>
      <c r="B529" s="38"/>
      <c r="C529" s="38"/>
      <c r="D529" s="38"/>
      <c r="E529" s="38"/>
      <c r="F529" s="38"/>
      <c r="G529" s="47">
        <f t="shared" si="165"/>
        <v>6.5978850116714893E-2</v>
      </c>
      <c r="H529" s="44"/>
      <c r="I529" s="44"/>
      <c r="J529" s="45">
        <f t="shared" si="185"/>
        <v>0</v>
      </c>
      <c r="K529" s="38"/>
      <c r="L529" s="38"/>
      <c r="M529" s="38"/>
      <c r="N529" s="34" t="e">
        <f>VLOOKUP(F529,'GHG Emissions Factors'!$B$2:$C$4000,2,FALSE)</f>
        <v>#N/A</v>
      </c>
      <c r="O529" s="45" t="e">
        <f t="shared" si="166"/>
        <v>#N/A</v>
      </c>
      <c r="P529" s="34">
        <f>IF(L529="yes", 0, _xlfn.XLOOKUP(F529, 'GHG Emissions Factors'!$B$2:$B$4000, 'GHG Emissions Factors'!$D$2:$D$4000, 0))</f>
        <v>0</v>
      </c>
      <c r="Q529" s="46"/>
      <c r="R529" s="46"/>
      <c r="S529" s="46">
        <f>ProcurementAllocationData[[#This Row],[Net MWhs Procured]]-(ProcurementAllocationData[[#This Row],[Deep Green]]+ProcurementAllocationData[[#This Row],[LocalSol]]+ProcurementAllocationData[[#This Row],[GreenAccess]])</f>
        <v>0</v>
      </c>
      <c r="T529" s="46"/>
      <c r="U529" s="46"/>
      <c r="V529" s="46"/>
      <c r="W529" s="46"/>
      <c r="X529" s="46"/>
      <c r="Y529" s="112">
        <f t="shared" si="167"/>
        <v>0</v>
      </c>
      <c r="Z529" s="150">
        <f t="shared" si="168"/>
        <v>0</v>
      </c>
      <c r="AA529" s="150">
        <f t="shared" si="169"/>
        <v>0</v>
      </c>
      <c r="AB529" s="113">
        <f t="shared" si="170"/>
        <v>0</v>
      </c>
      <c r="AC529" s="36"/>
      <c r="AD529" s="272" t="str">
        <f t="shared" si="171"/>
        <v/>
      </c>
      <c r="AE529" s="273">
        <f t="shared" si="172"/>
        <v>0</v>
      </c>
      <c r="AF529" s="273">
        <f t="shared" si="173"/>
        <v>0</v>
      </c>
      <c r="AG529" s="273">
        <f t="shared" si="174"/>
        <v>0</v>
      </c>
      <c r="AH529" s="273">
        <f t="shared" si="175"/>
        <v>0</v>
      </c>
      <c r="AI529" s="273">
        <f t="shared" si="176"/>
        <v>0</v>
      </c>
      <c r="AJ529" s="273">
        <f t="shared" si="177"/>
        <v>0</v>
      </c>
      <c r="AK529" s="273">
        <f t="shared" si="178"/>
        <v>0</v>
      </c>
      <c r="AL529" s="274">
        <f t="shared" si="179"/>
        <v>0</v>
      </c>
      <c r="AN529" s="75" t="str">
        <f t="shared" si="180"/>
        <v>-</v>
      </c>
      <c r="AO529" s="75" t="str">
        <f t="shared" si="181"/>
        <v>-</v>
      </c>
      <c r="AP529" s="48">
        <f t="shared" si="184"/>
        <v>0</v>
      </c>
      <c r="AQ529" s="48">
        <f t="shared" si="182"/>
        <v>0</v>
      </c>
      <c r="AR529" s="49" t="e">
        <f t="shared" si="183"/>
        <v>#N/A</v>
      </c>
    </row>
    <row r="530" spans="1:44" ht="15">
      <c r="A530" s="38"/>
      <c r="B530" s="38"/>
      <c r="C530" s="38"/>
      <c r="D530" s="38"/>
      <c r="E530" s="38"/>
      <c r="F530" s="38"/>
      <c r="G530" s="47">
        <f t="shared" si="165"/>
        <v>6.5978850116714893E-2</v>
      </c>
      <c r="H530" s="44"/>
      <c r="I530" s="44"/>
      <c r="J530" s="45">
        <f t="shared" si="185"/>
        <v>0</v>
      </c>
      <c r="K530" s="38"/>
      <c r="L530" s="38"/>
      <c r="M530" s="38"/>
      <c r="N530" s="34" t="e">
        <f>VLOOKUP(F530,'GHG Emissions Factors'!$B$2:$C$4000,2,FALSE)</f>
        <v>#N/A</v>
      </c>
      <c r="O530" s="45" t="e">
        <f t="shared" si="166"/>
        <v>#N/A</v>
      </c>
      <c r="P530" s="34">
        <f>IF(L530="yes", 0, _xlfn.XLOOKUP(F530, 'GHG Emissions Factors'!$B$2:$B$4000, 'GHG Emissions Factors'!$D$2:$D$4000, 0))</f>
        <v>0</v>
      </c>
      <c r="Q530" s="46"/>
      <c r="R530" s="46"/>
      <c r="S530" s="46">
        <f>ProcurementAllocationData[[#This Row],[Net MWhs Procured]]-(ProcurementAllocationData[[#This Row],[Deep Green]]+ProcurementAllocationData[[#This Row],[LocalSol]]+ProcurementAllocationData[[#This Row],[GreenAccess]])</f>
        <v>0</v>
      </c>
      <c r="T530" s="46"/>
      <c r="U530" s="46"/>
      <c r="V530" s="46"/>
      <c r="W530" s="46"/>
      <c r="X530" s="46"/>
      <c r="Y530" s="112">
        <f t="shared" si="167"/>
        <v>0</v>
      </c>
      <c r="Z530" s="150">
        <f t="shared" si="168"/>
        <v>0</v>
      </c>
      <c r="AA530" s="150">
        <f t="shared" si="169"/>
        <v>0</v>
      </c>
      <c r="AB530" s="113">
        <f t="shared" si="170"/>
        <v>0</v>
      </c>
      <c r="AC530" s="36"/>
      <c r="AD530" s="272" t="str">
        <f t="shared" si="171"/>
        <v/>
      </c>
      <c r="AE530" s="273">
        <f t="shared" si="172"/>
        <v>0</v>
      </c>
      <c r="AF530" s="273">
        <f t="shared" si="173"/>
        <v>0</v>
      </c>
      <c r="AG530" s="273">
        <f t="shared" si="174"/>
        <v>0</v>
      </c>
      <c r="AH530" s="273">
        <f t="shared" si="175"/>
        <v>0</v>
      </c>
      <c r="AI530" s="273">
        <f t="shared" si="176"/>
        <v>0</v>
      </c>
      <c r="AJ530" s="273">
        <f t="shared" si="177"/>
        <v>0</v>
      </c>
      <c r="AK530" s="273">
        <f t="shared" si="178"/>
        <v>0</v>
      </c>
      <c r="AL530" s="274">
        <f t="shared" si="179"/>
        <v>0</v>
      </c>
      <c r="AN530" s="75" t="str">
        <f t="shared" si="180"/>
        <v>-</v>
      </c>
      <c r="AO530" s="75" t="str">
        <f t="shared" si="181"/>
        <v>-</v>
      </c>
      <c r="AP530" s="48">
        <f t="shared" si="184"/>
        <v>0</v>
      </c>
      <c r="AQ530" s="48">
        <f t="shared" si="182"/>
        <v>0</v>
      </c>
      <c r="AR530" s="49" t="e">
        <f t="shared" si="183"/>
        <v>#N/A</v>
      </c>
    </row>
    <row r="531" spans="1:44" ht="15">
      <c r="A531" s="38"/>
      <c r="B531" s="38"/>
      <c r="C531" s="38"/>
      <c r="D531" s="38"/>
      <c r="E531" s="38"/>
      <c r="F531" s="38"/>
      <c r="G531" s="47">
        <f t="shared" si="165"/>
        <v>6.5978850116714893E-2</v>
      </c>
      <c r="H531" s="44"/>
      <c r="I531" s="44"/>
      <c r="J531" s="45">
        <f t="shared" si="185"/>
        <v>0</v>
      </c>
      <c r="K531" s="38"/>
      <c r="L531" s="38"/>
      <c r="M531" s="38"/>
      <c r="N531" s="34" t="e">
        <f>VLOOKUP(F531,'GHG Emissions Factors'!$B$2:$C$4000,2,FALSE)</f>
        <v>#N/A</v>
      </c>
      <c r="O531" s="45" t="e">
        <f t="shared" si="166"/>
        <v>#N/A</v>
      </c>
      <c r="P531" s="34">
        <f>IF(L531="yes", 0, _xlfn.XLOOKUP(F531, 'GHG Emissions Factors'!$B$2:$B$4000, 'GHG Emissions Factors'!$D$2:$D$4000, 0))</f>
        <v>0</v>
      </c>
      <c r="Q531" s="46"/>
      <c r="R531" s="46"/>
      <c r="S531" s="46">
        <f>ProcurementAllocationData[[#This Row],[Net MWhs Procured]]-(ProcurementAllocationData[[#This Row],[Deep Green]]+ProcurementAllocationData[[#This Row],[LocalSol]]+ProcurementAllocationData[[#This Row],[GreenAccess]])</f>
        <v>0</v>
      </c>
      <c r="T531" s="46"/>
      <c r="U531" s="46"/>
      <c r="V531" s="46"/>
      <c r="W531" s="46"/>
      <c r="X531" s="46"/>
      <c r="Y531" s="112">
        <f t="shared" si="167"/>
        <v>0</v>
      </c>
      <c r="Z531" s="150">
        <f t="shared" si="168"/>
        <v>0</v>
      </c>
      <c r="AA531" s="150">
        <f t="shared" si="169"/>
        <v>0</v>
      </c>
      <c r="AB531" s="113">
        <f t="shared" si="170"/>
        <v>0</v>
      </c>
      <c r="AC531" s="36"/>
      <c r="AD531" s="272" t="str">
        <f t="shared" si="171"/>
        <v/>
      </c>
      <c r="AE531" s="273">
        <f t="shared" si="172"/>
        <v>0</v>
      </c>
      <c r="AF531" s="273">
        <f t="shared" si="173"/>
        <v>0</v>
      </c>
      <c r="AG531" s="273">
        <f t="shared" si="174"/>
        <v>0</v>
      </c>
      <c r="AH531" s="273">
        <f t="shared" si="175"/>
        <v>0</v>
      </c>
      <c r="AI531" s="273">
        <f t="shared" si="176"/>
        <v>0</v>
      </c>
      <c r="AJ531" s="273">
        <f t="shared" si="177"/>
        <v>0</v>
      </c>
      <c r="AK531" s="273">
        <f t="shared" si="178"/>
        <v>0</v>
      </c>
      <c r="AL531" s="274">
        <f t="shared" si="179"/>
        <v>0</v>
      </c>
      <c r="AN531" s="75" t="str">
        <f t="shared" si="180"/>
        <v>-</v>
      </c>
      <c r="AO531" s="75" t="str">
        <f t="shared" si="181"/>
        <v>-</v>
      </c>
      <c r="AP531" s="48">
        <f t="shared" si="184"/>
        <v>0</v>
      </c>
      <c r="AQ531" s="48">
        <f t="shared" si="182"/>
        <v>0</v>
      </c>
      <c r="AR531" s="49" t="e">
        <f t="shared" si="183"/>
        <v>#N/A</v>
      </c>
    </row>
    <row r="532" spans="1:44" ht="15">
      <c r="A532" s="38"/>
      <c r="B532" s="38"/>
      <c r="C532" s="38"/>
      <c r="D532" s="38"/>
      <c r="E532" s="38"/>
      <c r="F532" s="38"/>
      <c r="G532" s="47">
        <f t="shared" si="165"/>
        <v>6.5978850116714893E-2</v>
      </c>
      <c r="H532" s="44"/>
      <c r="I532" s="44"/>
      <c r="J532" s="45">
        <f t="shared" si="185"/>
        <v>0</v>
      </c>
      <c r="K532" s="38"/>
      <c r="L532" s="38"/>
      <c r="M532" s="38"/>
      <c r="N532" s="34" t="e">
        <f>VLOOKUP(F532,'GHG Emissions Factors'!$B$2:$C$4000,2,FALSE)</f>
        <v>#N/A</v>
      </c>
      <c r="O532" s="45" t="e">
        <f t="shared" si="166"/>
        <v>#N/A</v>
      </c>
      <c r="P532" s="34">
        <f>IF(L532="yes", 0, _xlfn.XLOOKUP(F532, 'GHG Emissions Factors'!$B$2:$B$4000, 'GHG Emissions Factors'!$D$2:$D$4000, 0))</f>
        <v>0</v>
      </c>
      <c r="Q532" s="46"/>
      <c r="R532" s="46"/>
      <c r="S532" s="46">
        <f>ProcurementAllocationData[[#This Row],[Net MWhs Procured]]-(ProcurementAllocationData[[#This Row],[Deep Green]]+ProcurementAllocationData[[#This Row],[LocalSol]]+ProcurementAllocationData[[#This Row],[GreenAccess]])</f>
        <v>0</v>
      </c>
      <c r="T532" s="46"/>
      <c r="U532" s="46"/>
      <c r="V532" s="46"/>
      <c r="W532" s="46"/>
      <c r="X532" s="46"/>
      <c r="Y532" s="112">
        <f t="shared" si="167"/>
        <v>0</v>
      </c>
      <c r="Z532" s="150">
        <f t="shared" si="168"/>
        <v>0</v>
      </c>
      <c r="AA532" s="150">
        <f t="shared" si="169"/>
        <v>0</v>
      </c>
      <c r="AB532" s="113">
        <f t="shared" si="170"/>
        <v>0</v>
      </c>
      <c r="AC532" s="36"/>
      <c r="AD532" s="272" t="str">
        <f t="shared" si="171"/>
        <v/>
      </c>
      <c r="AE532" s="273">
        <f t="shared" si="172"/>
        <v>0</v>
      </c>
      <c r="AF532" s="273">
        <f t="shared" si="173"/>
        <v>0</v>
      </c>
      <c r="AG532" s="273">
        <f t="shared" si="174"/>
        <v>0</v>
      </c>
      <c r="AH532" s="273">
        <f t="shared" si="175"/>
        <v>0</v>
      </c>
      <c r="AI532" s="273">
        <f t="shared" si="176"/>
        <v>0</v>
      </c>
      <c r="AJ532" s="273">
        <f t="shared" si="177"/>
        <v>0</v>
      </c>
      <c r="AK532" s="273">
        <f t="shared" si="178"/>
        <v>0</v>
      </c>
      <c r="AL532" s="274">
        <f t="shared" si="179"/>
        <v>0</v>
      </c>
      <c r="AN532" s="75" t="str">
        <f t="shared" si="180"/>
        <v>-</v>
      </c>
      <c r="AO532" s="75" t="str">
        <f t="shared" si="181"/>
        <v>-</v>
      </c>
      <c r="AP532" s="48">
        <f t="shared" si="184"/>
        <v>0</v>
      </c>
      <c r="AQ532" s="48">
        <f t="shared" si="182"/>
        <v>0</v>
      </c>
      <c r="AR532" s="49" t="e">
        <f t="shared" si="183"/>
        <v>#N/A</v>
      </c>
    </row>
    <row r="533" spans="1:44" ht="15">
      <c r="A533" s="38"/>
      <c r="B533" s="38"/>
      <c r="C533" s="38"/>
      <c r="D533" s="38"/>
      <c r="E533" s="38"/>
      <c r="F533" s="38"/>
      <c r="G533" s="47">
        <f t="shared" si="165"/>
        <v>6.5978850116714893E-2</v>
      </c>
      <c r="H533" s="44"/>
      <c r="I533" s="44"/>
      <c r="J533" s="45">
        <f t="shared" si="185"/>
        <v>0</v>
      </c>
      <c r="K533" s="38"/>
      <c r="L533" s="38"/>
      <c r="M533" s="38"/>
      <c r="N533" s="34" t="e">
        <f>VLOOKUP(F533,'GHG Emissions Factors'!$B$2:$C$4000,2,FALSE)</f>
        <v>#N/A</v>
      </c>
      <c r="O533" s="45" t="e">
        <f t="shared" si="166"/>
        <v>#N/A</v>
      </c>
      <c r="P533" s="34">
        <f>IF(L533="yes", 0, _xlfn.XLOOKUP(F533, 'GHG Emissions Factors'!$B$2:$B$4000, 'GHG Emissions Factors'!$D$2:$D$4000, 0))</f>
        <v>0</v>
      </c>
      <c r="Q533" s="46"/>
      <c r="R533" s="46"/>
      <c r="S533" s="46">
        <f>ProcurementAllocationData[[#This Row],[Net MWhs Procured]]-(ProcurementAllocationData[[#This Row],[Deep Green]]+ProcurementAllocationData[[#This Row],[LocalSol]]+ProcurementAllocationData[[#This Row],[GreenAccess]])</f>
        <v>0</v>
      </c>
      <c r="T533" s="46"/>
      <c r="U533" s="46"/>
      <c r="V533" s="46"/>
      <c r="W533" s="46"/>
      <c r="X533" s="46"/>
      <c r="Y533" s="112">
        <f t="shared" si="167"/>
        <v>0</v>
      </c>
      <c r="Z533" s="150">
        <f t="shared" si="168"/>
        <v>0</v>
      </c>
      <c r="AA533" s="150">
        <f t="shared" si="169"/>
        <v>0</v>
      </c>
      <c r="AB533" s="113">
        <f t="shared" si="170"/>
        <v>0</v>
      </c>
      <c r="AC533" s="36"/>
      <c r="AD533" s="272" t="str">
        <f t="shared" si="171"/>
        <v/>
      </c>
      <c r="AE533" s="273">
        <f t="shared" si="172"/>
        <v>0</v>
      </c>
      <c r="AF533" s="273">
        <f t="shared" si="173"/>
        <v>0</v>
      </c>
      <c r="AG533" s="273">
        <f t="shared" si="174"/>
        <v>0</v>
      </c>
      <c r="AH533" s="273">
        <f t="shared" si="175"/>
        <v>0</v>
      </c>
      <c r="AI533" s="273">
        <f t="shared" si="176"/>
        <v>0</v>
      </c>
      <c r="AJ533" s="273">
        <f t="shared" si="177"/>
        <v>0</v>
      </c>
      <c r="AK533" s="273">
        <f t="shared" si="178"/>
        <v>0</v>
      </c>
      <c r="AL533" s="274">
        <f t="shared" si="179"/>
        <v>0</v>
      </c>
      <c r="AN533" s="75" t="str">
        <f t="shared" si="180"/>
        <v>-</v>
      </c>
      <c r="AO533" s="75" t="str">
        <f t="shared" si="181"/>
        <v>-</v>
      </c>
      <c r="AP533" s="48">
        <f t="shared" si="184"/>
        <v>0</v>
      </c>
      <c r="AQ533" s="48">
        <f t="shared" si="182"/>
        <v>0</v>
      </c>
      <c r="AR533" s="49" t="e">
        <f t="shared" si="183"/>
        <v>#N/A</v>
      </c>
    </row>
    <row r="534" spans="1:44" ht="15">
      <c r="A534" s="38"/>
      <c r="B534" s="38"/>
      <c r="C534" s="38"/>
      <c r="D534" s="38"/>
      <c r="E534" s="38"/>
      <c r="F534" s="38"/>
      <c r="G534" s="47">
        <f t="shared" si="165"/>
        <v>6.5978850116714893E-2</v>
      </c>
      <c r="H534" s="44"/>
      <c r="I534" s="44"/>
      <c r="J534" s="45">
        <f t="shared" si="185"/>
        <v>0</v>
      </c>
      <c r="K534" s="38"/>
      <c r="L534" s="38"/>
      <c r="M534" s="38"/>
      <c r="N534" s="34" t="e">
        <f>VLOOKUP(F534,'GHG Emissions Factors'!$B$2:$C$4000,2,FALSE)</f>
        <v>#N/A</v>
      </c>
      <c r="O534" s="45" t="e">
        <f t="shared" si="166"/>
        <v>#N/A</v>
      </c>
      <c r="P534" s="34">
        <f>IF(L534="yes", 0, _xlfn.XLOOKUP(F534, 'GHG Emissions Factors'!$B$2:$B$4000, 'GHG Emissions Factors'!$D$2:$D$4000, 0))</f>
        <v>0</v>
      </c>
      <c r="Q534" s="46"/>
      <c r="R534" s="46"/>
      <c r="S534" s="46">
        <f>ProcurementAllocationData[[#This Row],[Net MWhs Procured]]-(ProcurementAllocationData[[#This Row],[Deep Green]]+ProcurementAllocationData[[#This Row],[LocalSol]]+ProcurementAllocationData[[#This Row],[GreenAccess]])</f>
        <v>0</v>
      </c>
      <c r="T534" s="46"/>
      <c r="U534" s="46"/>
      <c r="V534" s="46"/>
      <c r="W534" s="46"/>
      <c r="X534" s="46"/>
      <c r="Y534" s="112">
        <f t="shared" si="167"/>
        <v>0</v>
      </c>
      <c r="Z534" s="150">
        <f t="shared" si="168"/>
        <v>0</v>
      </c>
      <c r="AA534" s="150">
        <f t="shared" si="169"/>
        <v>0</v>
      </c>
      <c r="AB534" s="113">
        <f t="shared" si="170"/>
        <v>0</v>
      </c>
      <c r="AC534" s="36"/>
      <c r="AD534" s="272" t="str">
        <f t="shared" si="171"/>
        <v/>
      </c>
      <c r="AE534" s="273">
        <f t="shared" si="172"/>
        <v>0</v>
      </c>
      <c r="AF534" s="273">
        <f t="shared" si="173"/>
        <v>0</v>
      </c>
      <c r="AG534" s="273">
        <f t="shared" si="174"/>
        <v>0</v>
      </c>
      <c r="AH534" s="273">
        <f t="shared" si="175"/>
        <v>0</v>
      </c>
      <c r="AI534" s="273">
        <f t="shared" si="176"/>
        <v>0</v>
      </c>
      <c r="AJ534" s="273">
        <f t="shared" si="177"/>
        <v>0</v>
      </c>
      <c r="AK534" s="273">
        <f t="shared" si="178"/>
        <v>0</v>
      </c>
      <c r="AL534" s="274">
        <f t="shared" si="179"/>
        <v>0</v>
      </c>
      <c r="AN534" s="75" t="str">
        <f t="shared" si="180"/>
        <v>-</v>
      </c>
      <c r="AO534" s="75" t="str">
        <f t="shared" si="181"/>
        <v>-</v>
      </c>
      <c r="AP534" s="48">
        <f t="shared" si="184"/>
        <v>0</v>
      </c>
      <c r="AQ534" s="48">
        <f t="shared" si="182"/>
        <v>0</v>
      </c>
      <c r="AR534" s="49" t="e">
        <f t="shared" si="183"/>
        <v>#N/A</v>
      </c>
    </row>
    <row r="535" spans="1:44" ht="15">
      <c r="A535" s="38"/>
      <c r="B535" s="38"/>
      <c r="C535" s="38"/>
      <c r="D535" s="38"/>
      <c r="E535" s="38"/>
      <c r="F535" s="38"/>
      <c r="G535" s="47">
        <f t="shared" si="165"/>
        <v>6.5978850116714893E-2</v>
      </c>
      <c r="H535" s="44"/>
      <c r="I535" s="44"/>
      <c r="J535" s="45">
        <f t="shared" si="185"/>
        <v>0</v>
      </c>
      <c r="K535" s="38"/>
      <c r="L535" s="38"/>
      <c r="M535" s="38"/>
      <c r="N535" s="34" t="e">
        <f>VLOOKUP(F535,'GHG Emissions Factors'!$B$2:$C$4000,2,FALSE)</f>
        <v>#N/A</v>
      </c>
      <c r="O535" s="45" t="e">
        <f t="shared" si="166"/>
        <v>#N/A</v>
      </c>
      <c r="P535" s="34">
        <f>IF(L535="yes", 0, _xlfn.XLOOKUP(F535, 'GHG Emissions Factors'!$B$2:$B$4000, 'GHG Emissions Factors'!$D$2:$D$4000, 0))</f>
        <v>0</v>
      </c>
      <c r="Q535" s="46"/>
      <c r="R535" s="46"/>
      <c r="S535" s="46">
        <f>ProcurementAllocationData[[#This Row],[Net MWhs Procured]]-(ProcurementAllocationData[[#This Row],[Deep Green]]+ProcurementAllocationData[[#This Row],[LocalSol]]+ProcurementAllocationData[[#This Row],[GreenAccess]])</f>
        <v>0</v>
      </c>
      <c r="T535" s="46"/>
      <c r="U535" s="46"/>
      <c r="V535" s="46"/>
      <c r="W535" s="46"/>
      <c r="X535" s="46"/>
      <c r="Y535" s="112">
        <f t="shared" si="167"/>
        <v>0</v>
      </c>
      <c r="Z535" s="150">
        <f t="shared" si="168"/>
        <v>0</v>
      </c>
      <c r="AA535" s="150">
        <f t="shared" si="169"/>
        <v>0</v>
      </c>
      <c r="AB535" s="113">
        <f t="shared" si="170"/>
        <v>0</v>
      </c>
      <c r="AC535" s="36"/>
      <c r="AD535" s="272" t="str">
        <f t="shared" si="171"/>
        <v/>
      </c>
      <c r="AE535" s="273">
        <f t="shared" si="172"/>
        <v>0</v>
      </c>
      <c r="AF535" s="273">
        <f t="shared" si="173"/>
        <v>0</v>
      </c>
      <c r="AG535" s="273">
        <f t="shared" si="174"/>
        <v>0</v>
      </c>
      <c r="AH535" s="273">
        <f t="shared" si="175"/>
        <v>0</v>
      </c>
      <c r="AI535" s="273">
        <f t="shared" si="176"/>
        <v>0</v>
      </c>
      <c r="AJ535" s="273">
        <f t="shared" si="177"/>
        <v>0</v>
      </c>
      <c r="AK535" s="273">
        <f t="shared" si="178"/>
        <v>0</v>
      </c>
      <c r="AL535" s="274">
        <f t="shared" si="179"/>
        <v>0</v>
      </c>
      <c r="AN535" s="75" t="str">
        <f t="shared" si="180"/>
        <v>-</v>
      </c>
      <c r="AO535" s="75" t="str">
        <f t="shared" si="181"/>
        <v>-</v>
      </c>
      <c r="AP535" s="48">
        <f t="shared" si="184"/>
        <v>0</v>
      </c>
      <c r="AQ535" s="48">
        <f t="shared" si="182"/>
        <v>0</v>
      </c>
      <c r="AR535" s="49" t="e">
        <f t="shared" si="183"/>
        <v>#N/A</v>
      </c>
    </row>
    <row r="536" spans="1:44" ht="15">
      <c r="A536" s="38"/>
      <c r="B536" s="38"/>
      <c r="C536" s="38"/>
      <c r="D536" s="38"/>
      <c r="E536" s="38"/>
      <c r="F536" s="38"/>
      <c r="G536" s="47">
        <f t="shared" si="165"/>
        <v>6.5978850116714893E-2</v>
      </c>
      <c r="H536" s="44"/>
      <c r="I536" s="44"/>
      <c r="J536" s="45">
        <f t="shared" si="185"/>
        <v>0</v>
      </c>
      <c r="K536" s="38"/>
      <c r="L536" s="38"/>
      <c r="M536" s="38"/>
      <c r="N536" s="34" t="e">
        <f>VLOOKUP(F536,'GHG Emissions Factors'!$B$2:$C$4000,2,FALSE)</f>
        <v>#N/A</v>
      </c>
      <c r="O536" s="45" t="e">
        <f t="shared" si="166"/>
        <v>#N/A</v>
      </c>
      <c r="P536" s="34">
        <f>IF(L536="yes", 0, _xlfn.XLOOKUP(F536, 'GHG Emissions Factors'!$B$2:$B$4000, 'GHG Emissions Factors'!$D$2:$D$4000, 0))</f>
        <v>0</v>
      </c>
      <c r="Q536" s="46"/>
      <c r="R536" s="46"/>
      <c r="S536" s="46">
        <f>ProcurementAllocationData[[#This Row],[Net MWhs Procured]]-(ProcurementAllocationData[[#This Row],[Deep Green]]+ProcurementAllocationData[[#This Row],[LocalSol]]+ProcurementAllocationData[[#This Row],[GreenAccess]])</f>
        <v>0</v>
      </c>
      <c r="T536" s="46"/>
      <c r="U536" s="46"/>
      <c r="V536" s="46"/>
      <c r="W536" s="46"/>
      <c r="X536" s="46"/>
      <c r="Y536" s="112">
        <f t="shared" si="167"/>
        <v>0</v>
      </c>
      <c r="Z536" s="150">
        <f t="shared" si="168"/>
        <v>0</v>
      </c>
      <c r="AA536" s="150">
        <f t="shared" si="169"/>
        <v>0</v>
      </c>
      <c r="AB536" s="113">
        <f t="shared" si="170"/>
        <v>0</v>
      </c>
      <c r="AC536" s="36"/>
      <c r="AD536" s="272" t="str">
        <f t="shared" si="171"/>
        <v/>
      </c>
      <c r="AE536" s="273">
        <f t="shared" si="172"/>
        <v>0</v>
      </c>
      <c r="AF536" s="273">
        <f t="shared" si="173"/>
        <v>0</v>
      </c>
      <c r="AG536" s="273">
        <f t="shared" si="174"/>
        <v>0</v>
      </c>
      <c r="AH536" s="273">
        <f t="shared" si="175"/>
        <v>0</v>
      </c>
      <c r="AI536" s="273">
        <f t="shared" si="176"/>
        <v>0</v>
      </c>
      <c r="AJ536" s="273">
        <f t="shared" si="177"/>
        <v>0</v>
      </c>
      <c r="AK536" s="273">
        <f t="shared" si="178"/>
        <v>0</v>
      </c>
      <c r="AL536" s="274">
        <f t="shared" si="179"/>
        <v>0</v>
      </c>
      <c r="AN536" s="75" t="str">
        <f t="shared" si="180"/>
        <v>-</v>
      </c>
      <c r="AO536" s="75" t="str">
        <f t="shared" si="181"/>
        <v>-</v>
      </c>
      <c r="AP536" s="48">
        <f t="shared" si="184"/>
        <v>0</v>
      </c>
      <c r="AQ536" s="48">
        <f t="shared" si="182"/>
        <v>0</v>
      </c>
      <c r="AR536" s="49" t="e">
        <f t="shared" si="183"/>
        <v>#N/A</v>
      </c>
    </row>
    <row r="537" spans="1:44" ht="15">
      <c r="A537" s="38"/>
      <c r="B537" s="38"/>
      <c r="C537" s="38"/>
      <c r="D537" s="38"/>
      <c r="E537" s="38"/>
      <c r="F537" s="38"/>
      <c r="G537" s="47">
        <f t="shared" si="165"/>
        <v>6.5978850116714893E-2</v>
      </c>
      <c r="H537" s="44"/>
      <c r="I537" s="44"/>
      <c r="J537" s="45">
        <f t="shared" si="185"/>
        <v>0</v>
      </c>
      <c r="K537" s="38"/>
      <c r="L537" s="38"/>
      <c r="M537" s="38"/>
      <c r="N537" s="34" t="e">
        <f>VLOOKUP(F537,'GHG Emissions Factors'!$B$2:$C$4000,2,FALSE)</f>
        <v>#N/A</v>
      </c>
      <c r="O537" s="45" t="e">
        <f t="shared" si="166"/>
        <v>#N/A</v>
      </c>
      <c r="P537" s="34">
        <f>IF(L537="yes", 0, _xlfn.XLOOKUP(F537, 'GHG Emissions Factors'!$B$2:$B$4000, 'GHG Emissions Factors'!$D$2:$D$4000, 0))</f>
        <v>0</v>
      </c>
      <c r="Q537" s="46"/>
      <c r="R537" s="46"/>
      <c r="S537" s="46">
        <f>ProcurementAllocationData[[#This Row],[Net MWhs Procured]]-(ProcurementAllocationData[[#This Row],[Deep Green]]+ProcurementAllocationData[[#This Row],[LocalSol]]+ProcurementAllocationData[[#This Row],[GreenAccess]])</f>
        <v>0</v>
      </c>
      <c r="T537" s="46"/>
      <c r="U537" s="46"/>
      <c r="V537" s="46"/>
      <c r="W537" s="46"/>
      <c r="X537" s="46"/>
      <c r="Y537" s="112">
        <f t="shared" si="167"/>
        <v>0</v>
      </c>
      <c r="Z537" s="150">
        <f t="shared" si="168"/>
        <v>0</v>
      </c>
      <c r="AA537" s="150">
        <f t="shared" si="169"/>
        <v>0</v>
      </c>
      <c r="AB537" s="113">
        <f t="shared" si="170"/>
        <v>0</v>
      </c>
      <c r="AC537" s="36"/>
      <c r="AD537" s="272" t="str">
        <f t="shared" si="171"/>
        <v/>
      </c>
      <c r="AE537" s="273">
        <f t="shared" si="172"/>
        <v>0</v>
      </c>
      <c r="AF537" s="273">
        <f t="shared" si="173"/>
        <v>0</v>
      </c>
      <c r="AG537" s="273">
        <f t="shared" si="174"/>
        <v>0</v>
      </c>
      <c r="AH537" s="273">
        <f t="shared" si="175"/>
        <v>0</v>
      </c>
      <c r="AI537" s="273">
        <f t="shared" si="176"/>
        <v>0</v>
      </c>
      <c r="AJ537" s="273">
        <f t="shared" si="177"/>
        <v>0</v>
      </c>
      <c r="AK537" s="273">
        <f t="shared" si="178"/>
        <v>0</v>
      </c>
      <c r="AL537" s="274">
        <f t="shared" si="179"/>
        <v>0</v>
      </c>
      <c r="AN537" s="75" t="str">
        <f t="shared" si="180"/>
        <v>-</v>
      </c>
      <c r="AO537" s="75" t="str">
        <f t="shared" si="181"/>
        <v>-</v>
      </c>
      <c r="AP537" s="48">
        <f t="shared" si="184"/>
        <v>0</v>
      </c>
      <c r="AQ537" s="48">
        <f t="shared" si="182"/>
        <v>0</v>
      </c>
      <c r="AR537" s="49" t="e">
        <f t="shared" si="183"/>
        <v>#N/A</v>
      </c>
    </row>
    <row r="538" spans="1:44" ht="15">
      <c r="A538" s="38"/>
      <c r="B538" s="38"/>
      <c r="C538" s="38"/>
      <c r="D538" s="38"/>
      <c r="E538" s="38"/>
      <c r="F538" s="38"/>
      <c r="G538" s="47">
        <f t="shared" si="165"/>
        <v>6.5978850116714893E-2</v>
      </c>
      <c r="H538" s="44"/>
      <c r="I538" s="44"/>
      <c r="J538" s="45">
        <f t="shared" si="185"/>
        <v>0</v>
      </c>
      <c r="K538" s="38"/>
      <c r="L538" s="38"/>
      <c r="M538" s="38"/>
      <c r="N538" s="34" t="e">
        <f>VLOOKUP(F538,'GHG Emissions Factors'!$B$2:$C$4000,2,FALSE)</f>
        <v>#N/A</v>
      </c>
      <c r="O538" s="45" t="e">
        <f t="shared" si="166"/>
        <v>#N/A</v>
      </c>
      <c r="P538" s="34">
        <f>IF(L538="yes", 0, _xlfn.XLOOKUP(F538, 'GHG Emissions Factors'!$B$2:$B$4000, 'GHG Emissions Factors'!$D$2:$D$4000, 0))</f>
        <v>0</v>
      </c>
      <c r="Q538" s="46"/>
      <c r="R538" s="46"/>
      <c r="S538" s="46">
        <f>ProcurementAllocationData[[#This Row],[Net MWhs Procured]]-(ProcurementAllocationData[[#This Row],[Deep Green]]+ProcurementAllocationData[[#This Row],[LocalSol]]+ProcurementAllocationData[[#This Row],[GreenAccess]])</f>
        <v>0</v>
      </c>
      <c r="T538" s="46"/>
      <c r="U538" s="46"/>
      <c r="V538" s="46"/>
      <c r="W538" s="46"/>
      <c r="X538" s="46"/>
      <c r="Y538" s="112">
        <f t="shared" si="167"/>
        <v>0</v>
      </c>
      <c r="Z538" s="150">
        <f t="shared" si="168"/>
        <v>0</v>
      </c>
      <c r="AA538" s="150">
        <f t="shared" si="169"/>
        <v>0</v>
      </c>
      <c r="AB538" s="113">
        <f t="shared" si="170"/>
        <v>0</v>
      </c>
      <c r="AC538" s="36"/>
      <c r="AD538" s="272" t="str">
        <f t="shared" si="171"/>
        <v/>
      </c>
      <c r="AE538" s="273">
        <f t="shared" si="172"/>
        <v>0</v>
      </c>
      <c r="AF538" s="273">
        <f t="shared" si="173"/>
        <v>0</v>
      </c>
      <c r="AG538" s="273">
        <f t="shared" si="174"/>
        <v>0</v>
      </c>
      <c r="AH538" s="273">
        <f t="shared" si="175"/>
        <v>0</v>
      </c>
      <c r="AI538" s="273">
        <f t="shared" si="176"/>
        <v>0</v>
      </c>
      <c r="AJ538" s="273">
        <f t="shared" si="177"/>
        <v>0</v>
      </c>
      <c r="AK538" s="273">
        <f t="shared" si="178"/>
        <v>0</v>
      </c>
      <c r="AL538" s="274">
        <f t="shared" si="179"/>
        <v>0</v>
      </c>
      <c r="AN538" s="75" t="str">
        <f t="shared" si="180"/>
        <v>-</v>
      </c>
      <c r="AO538" s="75" t="str">
        <f t="shared" si="181"/>
        <v>-</v>
      </c>
      <c r="AP538" s="48">
        <f t="shared" si="184"/>
        <v>0</v>
      </c>
      <c r="AQ538" s="48">
        <f t="shared" si="182"/>
        <v>0</v>
      </c>
      <c r="AR538" s="49" t="e">
        <f t="shared" si="183"/>
        <v>#N/A</v>
      </c>
    </row>
    <row r="539" spans="1:44" ht="15">
      <c r="A539" s="38"/>
      <c r="B539" s="38"/>
      <c r="C539" s="38"/>
      <c r="D539" s="38"/>
      <c r="E539" s="38"/>
      <c r="F539" s="38"/>
      <c r="G539" s="47">
        <f t="shared" si="165"/>
        <v>6.5978850116714893E-2</v>
      </c>
      <c r="H539" s="44"/>
      <c r="I539" s="44"/>
      <c r="J539" s="45">
        <f t="shared" si="185"/>
        <v>0</v>
      </c>
      <c r="K539" s="38"/>
      <c r="L539" s="38"/>
      <c r="M539" s="38"/>
      <c r="N539" s="34" t="e">
        <f>VLOOKUP(F539,'GHG Emissions Factors'!$B$2:$C$4000,2,FALSE)</f>
        <v>#N/A</v>
      </c>
      <c r="O539" s="45" t="e">
        <f t="shared" si="166"/>
        <v>#N/A</v>
      </c>
      <c r="P539" s="34">
        <f>IF(L539="yes", 0, _xlfn.XLOOKUP(F539, 'GHG Emissions Factors'!$B$2:$B$4000, 'GHG Emissions Factors'!$D$2:$D$4000, 0))</f>
        <v>0</v>
      </c>
      <c r="Q539" s="46"/>
      <c r="R539" s="46"/>
      <c r="S539" s="46">
        <f>ProcurementAllocationData[[#This Row],[Net MWhs Procured]]-(ProcurementAllocationData[[#This Row],[Deep Green]]+ProcurementAllocationData[[#This Row],[LocalSol]]+ProcurementAllocationData[[#This Row],[GreenAccess]])</f>
        <v>0</v>
      </c>
      <c r="T539" s="46"/>
      <c r="U539" s="46"/>
      <c r="V539" s="46"/>
      <c r="W539" s="46"/>
      <c r="X539" s="46"/>
      <c r="Y539" s="112">
        <f t="shared" si="167"/>
        <v>0</v>
      </c>
      <c r="Z539" s="150">
        <f t="shared" si="168"/>
        <v>0</v>
      </c>
      <c r="AA539" s="150">
        <f t="shared" si="169"/>
        <v>0</v>
      </c>
      <c r="AB539" s="113">
        <f t="shared" si="170"/>
        <v>0</v>
      </c>
      <c r="AC539" s="36"/>
      <c r="AD539" s="272" t="str">
        <f t="shared" si="171"/>
        <v/>
      </c>
      <c r="AE539" s="273">
        <f t="shared" si="172"/>
        <v>0</v>
      </c>
      <c r="AF539" s="273">
        <f t="shared" si="173"/>
        <v>0</v>
      </c>
      <c r="AG539" s="273">
        <f t="shared" si="174"/>
        <v>0</v>
      </c>
      <c r="AH539" s="273">
        <f t="shared" si="175"/>
        <v>0</v>
      </c>
      <c r="AI539" s="273">
        <f t="shared" si="176"/>
        <v>0</v>
      </c>
      <c r="AJ539" s="273">
        <f t="shared" si="177"/>
        <v>0</v>
      </c>
      <c r="AK539" s="273">
        <f t="shared" si="178"/>
        <v>0</v>
      </c>
      <c r="AL539" s="274">
        <f t="shared" si="179"/>
        <v>0</v>
      </c>
      <c r="AN539" s="75" t="str">
        <f t="shared" si="180"/>
        <v>-</v>
      </c>
      <c r="AO539" s="75" t="str">
        <f t="shared" si="181"/>
        <v>-</v>
      </c>
      <c r="AP539" s="48">
        <f t="shared" si="184"/>
        <v>0</v>
      </c>
      <c r="AQ539" s="48">
        <f t="shared" si="182"/>
        <v>0</v>
      </c>
      <c r="AR539" s="49" t="e">
        <f t="shared" si="183"/>
        <v>#N/A</v>
      </c>
    </row>
    <row r="540" spans="1:44" ht="15">
      <c r="A540" s="38"/>
      <c r="B540" s="38"/>
      <c r="C540" s="38"/>
      <c r="D540" s="38"/>
      <c r="E540" s="38"/>
      <c r="F540" s="38"/>
      <c r="G540" s="47">
        <f t="shared" ref="G540:G599" si="186">IF(C540="CA",Default_in_state_loss_factor,Default_out_of_state_loss_factor)</f>
        <v>6.5978850116714893E-2</v>
      </c>
      <c r="H540" s="44"/>
      <c r="I540" s="44"/>
      <c r="J540" s="45">
        <f t="shared" si="185"/>
        <v>0</v>
      </c>
      <c r="K540" s="38"/>
      <c r="L540" s="38"/>
      <c r="M540" s="38"/>
      <c r="N540" s="34" t="e">
        <f>VLOOKUP(F540,'GHG Emissions Factors'!$B$2:$C$4000,2,FALSE)</f>
        <v>#N/A</v>
      </c>
      <c r="O540" s="45" t="e">
        <f t="shared" ref="O540:O597" si="187">N540*J540</f>
        <v>#N/A</v>
      </c>
      <c r="P540" s="34">
        <f>IF(L540="yes", 0, _xlfn.XLOOKUP(F540, 'GHG Emissions Factors'!$B$2:$B$4000, 'GHG Emissions Factors'!$D$2:$D$4000, 0))</f>
        <v>0</v>
      </c>
      <c r="Q540" s="46"/>
      <c r="R540" s="46"/>
      <c r="S540" s="46">
        <f>ProcurementAllocationData[[#This Row],[Net MWhs Procured]]-(ProcurementAllocationData[[#This Row],[Deep Green]]+ProcurementAllocationData[[#This Row],[LocalSol]]+ProcurementAllocationData[[#This Row],[GreenAccess]])</f>
        <v>0</v>
      </c>
      <c r="T540" s="46"/>
      <c r="U540" s="46"/>
      <c r="V540" s="46"/>
      <c r="W540" s="46"/>
      <c r="X540" s="46"/>
      <c r="Y540" s="112">
        <f t="shared" ref="Y540:Y601" si="188">ROUND((SUM(Q540:X540)*G540),0)</f>
        <v>0</v>
      </c>
      <c r="Z540" s="150">
        <f t="shared" ref="Z540:Z601" si="189">IF(M540="Yes",Y540,0)</f>
        <v>0</v>
      </c>
      <c r="AA540" s="150">
        <f t="shared" ref="AA540:AA601" si="190">Y540-Z540</f>
        <v>0</v>
      </c>
      <c r="AB540" s="113">
        <f t="shared" ref="AB540:AB601" si="191">J540-(SUM(Q540:X540))</f>
        <v>0</v>
      </c>
      <c r="AC540" s="36"/>
      <c r="AD540" s="272" t="str">
        <f t="shared" ref="AD540:AD601" si="192">IF(ISTEXT(A540),A540,"")</f>
        <v/>
      </c>
      <c r="AE540" s="273">
        <f t="shared" ref="AE540:AE601" si="193">Q540*$P540</f>
        <v>0</v>
      </c>
      <c r="AF540" s="273">
        <f t="shared" ref="AF540:AF601" si="194">R540*$P540</f>
        <v>0</v>
      </c>
      <c r="AG540" s="273">
        <f t="shared" ref="AG540:AG601" si="195">S540*$P540</f>
        <v>0</v>
      </c>
      <c r="AH540" s="273">
        <f t="shared" ref="AH540:AH601" si="196">T540*$P540</f>
        <v>0</v>
      </c>
      <c r="AI540" s="273">
        <f t="shared" ref="AI540:AI601" si="197">U540*$P540</f>
        <v>0</v>
      </c>
      <c r="AJ540" s="273">
        <f t="shared" ref="AJ540:AJ601" si="198">V540*$P540</f>
        <v>0</v>
      </c>
      <c r="AK540" s="273">
        <f t="shared" ref="AK540:AK601" si="199">W540*$P540</f>
        <v>0</v>
      </c>
      <c r="AL540" s="274">
        <f t="shared" ref="AL540:AL601" si="200">(X540*$P540)+(Z540*$P540)</f>
        <v>0</v>
      </c>
      <c r="AN540" s="75" t="str">
        <f t="shared" ref="AN540:AN601" si="201">IF(AB540&gt;0,A540,"-")</f>
        <v>-</v>
      </c>
      <c r="AO540" s="75" t="str">
        <f t="shared" ref="AO540:AO601" si="202">IF(AB540&gt;0,B540,"-")</f>
        <v>-</v>
      </c>
      <c r="AP540" s="48">
        <f t="shared" si="184"/>
        <v>0</v>
      </c>
      <c r="AQ540" s="48">
        <f t="shared" ref="AQ540:AQ601" si="203">AP540*G540</f>
        <v>0</v>
      </c>
      <c r="AR540" s="49" t="e">
        <f t="shared" ref="AR540:AR601" si="204">IF(ISNUMBER(AP540),AP540*N540,0)</f>
        <v>#N/A</v>
      </c>
    </row>
    <row r="541" spans="1:44" ht="15">
      <c r="A541" s="38"/>
      <c r="B541" s="38"/>
      <c r="C541" s="38"/>
      <c r="D541" s="38"/>
      <c r="E541" s="38"/>
      <c r="F541" s="38"/>
      <c r="G541" s="47">
        <f t="shared" si="186"/>
        <v>6.5978850116714893E-2</v>
      </c>
      <c r="H541" s="44"/>
      <c r="I541" s="44"/>
      <c r="J541" s="45">
        <f t="shared" si="185"/>
        <v>0</v>
      </c>
      <c r="K541" s="38"/>
      <c r="L541" s="38"/>
      <c r="M541" s="38"/>
      <c r="N541" s="34" t="e">
        <f>VLOOKUP(F541,'GHG Emissions Factors'!$B$2:$C$4000,2,FALSE)</f>
        <v>#N/A</v>
      </c>
      <c r="O541" s="45" t="e">
        <f t="shared" si="187"/>
        <v>#N/A</v>
      </c>
      <c r="P541" s="34">
        <f>IF(L541="yes", 0, _xlfn.XLOOKUP(F541, 'GHG Emissions Factors'!$B$2:$B$4000, 'GHG Emissions Factors'!$D$2:$D$4000, 0))</f>
        <v>0</v>
      </c>
      <c r="Q541" s="46"/>
      <c r="R541" s="46"/>
      <c r="S541" s="46">
        <f>ProcurementAllocationData[[#This Row],[Net MWhs Procured]]-(ProcurementAllocationData[[#This Row],[Deep Green]]+ProcurementAllocationData[[#This Row],[LocalSol]]+ProcurementAllocationData[[#This Row],[GreenAccess]])</f>
        <v>0</v>
      </c>
      <c r="T541" s="46"/>
      <c r="U541" s="46"/>
      <c r="V541" s="46"/>
      <c r="W541" s="46"/>
      <c r="X541" s="46"/>
      <c r="Y541" s="112">
        <f t="shared" si="188"/>
        <v>0</v>
      </c>
      <c r="Z541" s="150">
        <f t="shared" si="189"/>
        <v>0</v>
      </c>
      <c r="AA541" s="150">
        <f t="shared" si="190"/>
        <v>0</v>
      </c>
      <c r="AB541" s="113">
        <f t="shared" si="191"/>
        <v>0</v>
      </c>
      <c r="AC541" s="36"/>
      <c r="AD541" s="272" t="str">
        <f t="shared" si="192"/>
        <v/>
      </c>
      <c r="AE541" s="273">
        <f t="shared" si="193"/>
        <v>0</v>
      </c>
      <c r="AF541" s="273">
        <f t="shared" si="194"/>
        <v>0</v>
      </c>
      <c r="AG541" s="273">
        <f t="shared" si="195"/>
        <v>0</v>
      </c>
      <c r="AH541" s="273">
        <f t="shared" si="196"/>
        <v>0</v>
      </c>
      <c r="AI541" s="273">
        <f t="shared" si="197"/>
        <v>0</v>
      </c>
      <c r="AJ541" s="273">
        <f t="shared" si="198"/>
        <v>0</v>
      </c>
      <c r="AK541" s="273">
        <f t="shared" si="199"/>
        <v>0</v>
      </c>
      <c r="AL541" s="274">
        <f t="shared" si="200"/>
        <v>0</v>
      </c>
      <c r="AN541" s="75" t="str">
        <f t="shared" si="201"/>
        <v>-</v>
      </c>
      <c r="AO541" s="75" t="str">
        <f t="shared" si="202"/>
        <v>-</v>
      </c>
      <c r="AP541" s="48">
        <f t="shared" ref="AP541:AP599" si="205">IF(AB541&gt;0,AB541,0)</f>
        <v>0</v>
      </c>
      <c r="AQ541" s="48">
        <f t="shared" si="203"/>
        <v>0</v>
      </c>
      <c r="AR541" s="49" t="e">
        <f t="shared" si="204"/>
        <v>#N/A</v>
      </c>
    </row>
    <row r="542" spans="1:44" ht="15">
      <c r="A542" s="38"/>
      <c r="B542" s="38"/>
      <c r="C542" s="38"/>
      <c r="D542" s="38"/>
      <c r="E542" s="38"/>
      <c r="F542" s="38"/>
      <c r="G542" s="47">
        <f t="shared" si="186"/>
        <v>6.5978850116714893E-2</v>
      </c>
      <c r="H542" s="44"/>
      <c r="I542" s="44"/>
      <c r="J542" s="45">
        <f t="shared" si="185"/>
        <v>0</v>
      </c>
      <c r="K542" s="38"/>
      <c r="L542" s="38"/>
      <c r="M542" s="38"/>
      <c r="N542" s="34" t="e">
        <f>VLOOKUP(F542,'GHG Emissions Factors'!$B$2:$C$4000,2,FALSE)</f>
        <v>#N/A</v>
      </c>
      <c r="O542" s="45" t="e">
        <f t="shared" si="187"/>
        <v>#N/A</v>
      </c>
      <c r="P542" s="34">
        <f>IF(L542="yes", 0, _xlfn.XLOOKUP(F542, 'GHG Emissions Factors'!$B$2:$B$4000, 'GHG Emissions Factors'!$D$2:$D$4000, 0))</f>
        <v>0</v>
      </c>
      <c r="Q542" s="46"/>
      <c r="R542" s="46"/>
      <c r="S542" s="46">
        <f>ProcurementAllocationData[[#This Row],[Net MWhs Procured]]-(ProcurementAllocationData[[#This Row],[Deep Green]]+ProcurementAllocationData[[#This Row],[LocalSol]]+ProcurementAllocationData[[#This Row],[GreenAccess]])</f>
        <v>0</v>
      </c>
      <c r="T542" s="46"/>
      <c r="U542" s="46"/>
      <c r="V542" s="46"/>
      <c r="W542" s="46"/>
      <c r="X542" s="46"/>
      <c r="Y542" s="112">
        <f t="shared" si="188"/>
        <v>0</v>
      </c>
      <c r="Z542" s="150">
        <f t="shared" si="189"/>
        <v>0</v>
      </c>
      <c r="AA542" s="150">
        <f t="shared" si="190"/>
        <v>0</v>
      </c>
      <c r="AB542" s="113">
        <f t="shared" si="191"/>
        <v>0</v>
      </c>
      <c r="AC542" s="36"/>
      <c r="AD542" s="272" t="str">
        <f t="shared" si="192"/>
        <v/>
      </c>
      <c r="AE542" s="273">
        <f t="shared" si="193"/>
        <v>0</v>
      </c>
      <c r="AF542" s="273">
        <f t="shared" si="194"/>
        <v>0</v>
      </c>
      <c r="AG542" s="273">
        <f t="shared" si="195"/>
        <v>0</v>
      </c>
      <c r="AH542" s="273">
        <f t="shared" si="196"/>
        <v>0</v>
      </c>
      <c r="AI542" s="273">
        <f t="shared" si="197"/>
        <v>0</v>
      </c>
      <c r="AJ542" s="273">
        <f t="shared" si="198"/>
        <v>0</v>
      </c>
      <c r="AK542" s="273">
        <f t="shared" si="199"/>
        <v>0</v>
      </c>
      <c r="AL542" s="274">
        <f t="shared" si="200"/>
        <v>0</v>
      </c>
      <c r="AN542" s="75" t="str">
        <f t="shared" si="201"/>
        <v>-</v>
      </c>
      <c r="AO542" s="75" t="str">
        <f t="shared" si="202"/>
        <v>-</v>
      </c>
      <c r="AP542" s="48">
        <f t="shared" si="205"/>
        <v>0</v>
      </c>
      <c r="AQ542" s="48">
        <f t="shared" si="203"/>
        <v>0</v>
      </c>
      <c r="AR542" s="49" t="e">
        <f t="shared" si="204"/>
        <v>#N/A</v>
      </c>
    </row>
    <row r="543" spans="1:44" ht="15">
      <c r="A543" s="38"/>
      <c r="B543" s="38"/>
      <c r="C543" s="38"/>
      <c r="D543" s="38"/>
      <c r="E543" s="38"/>
      <c r="F543" s="38"/>
      <c r="G543" s="47">
        <f t="shared" si="186"/>
        <v>6.5978850116714893E-2</v>
      </c>
      <c r="H543" s="44"/>
      <c r="I543" s="44"/>
      <c r="J543" s="45">
        <f t="shared" si="185"/>
        <v>0</v>
      </c>
      <c r="K543" s="38"/>
      <c r="L543" s="38"/>
      <c r="M543" s="38"/>
      <c r="N543" s="34" t="e">
        <f>VLOOKUP(F543,'GHG Emissions Factors'!$B$2:$C$4000,2,FALSE)</f>
        <v>#N/A</v>
      </c>
      <c r="O543" s="45" t="e">
        <f t="shared" si="187"/>
        <v>#N/A</v>
      </c>
      <c r="P543" s="34">
        <f>IF(L543="yes", 0, _xlfn.XLOOKUP(F543, 'GHG Emissions Factors'!$B$2:$B$4000, 'GHG Emissions Factors'!$D$2:$D$4000, 0))</f>
        <v>0</v>
      </c>
      <c r="Q543" s="46"/>
      <c r="R543" s="46"/>
      <c r="S543" s="46">
        <f>ProcurementAllocationData[[#This Row],[Net MWhs Procured]]-(ProcurementAllocationData[[#This Row],[Deep Green]]+ProcurementAllocationData[[#This Row],[LocalSol]]+ProcurementAllocationData[[#This Row],[GreenAccess]])</f>
        <v>0</v>
      </c>
      <c r="T543" s="46"/>
      <c r="U543" s="46"/>
      <c r="V543" s="46"/>
      <c r="W543" s="46"/>
      <c r="X543" s="46"/>
      <c r="Y543" s="112">
        <f t="shared" si="188"/>
        <v>0</v>
      </c>
      <c r="Z543" s="150">
        <f t="shared" si="189"/>
        <v>0</v>
      </c>
      <c r="AA543" s="150">
        <f t="shared" si="190"/>
        <v>0</v>
      </c>
      <c r="AB543" s="113">
        <f t="shared" si="191"/>
        <v>0</v>
      </c>
      <c r="AC543" s="36"/>
      <c r="AD543" s="272" t="str">
        <f t="shared" si="192"/>
        <v/>
      </c>
      <c r="AE543" s="273">
        <f t="shared" si="193"/>
        <v>0</v>
      </c>
      <c r="AF543" s="273">
        <f t="shared" si="194"/>
        <v>0</v>
      </c>
      <c r="AG543" s="273">
        <f t="shared" si="195"/>
        <v>0</v>
      </c>
      <c r="AH543" s="273">
        <f t="shared" si="196"/>
        <v>0</v>
      </c>
      <c r="AI543" s="273">
        <f t="shared" si="197"/>
        <v>0</v>
      </c>
      <c r="AJ543" s="273">
        <f t="shared" si="198"/>
        <v>0</v>
      </c>
      <c r="AK543" s="273">
        <f t="shared" si="199"/>
        <v>0</v>
      </c>
      <c r="AL543" s="274">
        <f t="shared" si="200"/>
        <v>0</v>
      </c>
      <c r="AN543" s="75" t="str">
        <f t="shared" si="201"/>
        <v>-</v>
      </c>
      <c r="AO543" s="75" t="str">
        <f t="shared" si="202"/>
        <v>-</v>
      </c>
      <c r="AP543" s="48">
        <f t="shared" si="205"/>
        <v>0</v>
      </c>
      <c r="AQ543" s="48">
        <f t="shared" si="203"/>
        <v>0</v>
      </c>
      <c r="AR543" s="49" t="e">
        <f t="shared" si="204"/>
        <v>#N/A</v>
      </c>
    </row>
    <row r="544" spans="1:44" ht="15">
      <c r="A544" s="38"/>
      <c r="B544" s="38"/>
      <c r="C544" s="38"/>
      <c r="D544" s="38"/>
      <c r="E544" s="38"/>
      <c r="F544" s="38"/>
      <c r="G544" s="47">
        <f t="shared" si="186"/>
        <v>6.5978850116714893E-2</v>
      </c>
      <c r="H544" s="44"/>
      <c r="I544" s="44"/>
      <c r="J544" s="45">
        <f t="shared" si="185"/>
        <v>0</v>
      </c>
      <c r="K544" s="38"/>
      <c r="L544" s="38"/>
      <c r="M544" s="38"/>
      <c r="N544" s="34" t="e">
        <f>VLOOKUP(F544,'GHG Emissions Factors'!$B$2:$C$4000,2,FALSE)</f>
        <v>#N/A</v>
      </c>
      <c r="O544" s="45" t="e">
        <f t="shared" si="187"/>
        <v>#N/A</v>
      </c>
      <c r="P544" s="34">
        <f>IF(L544="yes", 0, _xlfn.XLOOKUP(F544, 'GHG Emissions Factors'!$B$2:$B$4000, 'GHG Emissions Factors'!$D$2:$D$4000, 0))</f>
        <v>0</v>
      </c>
      <c r="Q544" s="46"/>
      <c r="R544" s="46"/>
      <c r="S544" s="46">
        <f>ProcurementAllocationData[[#This Row],[Net MWhs Procured]]-(ProcurementAllocationData[[#This Row],[Deep Green]]+ProcurementAllocationData[[#This Row],[LocalSol]]+ProcurementAllocationData[[#This Row],[GreenAccess]])</f>
        <v>0</v>
      </c>
      <c r="T544" s="46"/>
      <c r="U544" s="46"/>
      <c r="V544" s="46"/>
      <c r="W544" s="46"/>
      <c r="X544" s="46"/>
      <c r="Y544" s="112">
        <f t="shared" si="188"/>
        <v>0</v>
      </c>
      <c r="Z544" s="150">
        <f t="shared" si="189"/>
        <v>0</v>
      </c>
      <c r="AA544" s="150">
        <f t="shared" si="190"/>
        <v>0</v>
      </c>
      <c r="AB544" s="113">
        <f t="shared" si="191"/>
        <v>0</v>
      </c>
      <c r="AC544" s="36"/>
      <c r="AD544" s="272" t="str">
        <f t="shared" si="192"/>
        <v/>
      </c>
      <c r="AE544" s="273">
        <f t="shared" si="193"/>
        <v>0</v>
      </c>
      <c r="AF544" s="273">
        <f t="shared" si="194"/>
        <v>0</v>
      </c>
      <c r="AG544" s="273">
        <f t="shared" si="195"/>
        <v>0</v>
      </c>
      <c r="AH544" s="273">
        <f t="shared" si="196"/>
        <v>0</v>
      </c>
      <c r="AI544" s="273">
        <f t="shared" si="197"/>
        <v>0</v>
      </c>
      <c r="AJ544" s="273">
        <f t="shared" si="198"/>
        <v>0</v>
      </c>
      <c r="AK544" s="273">
        <f t="shared" si="199"/>
        <v>0</v>
      </c>
      <c r="AL544" s="274">
        <f t="shared" si="200"/>
        <v>0</v>
      </c>
      <c r="AN544" s="75" t="str">
        <f t="shared" si="201"/>
        <v>-</v>
      </c>
      <c r="AO544" s="75" t="str">
        <f t="shared" si="202"/>
        <v>-</v>
      </c>
      <c r="AP544" s="48">
        <f t="shared" si="205"/>
        <v>0</v>
      </c>
      <c r="AQ544" s="48">
        <f t="shared" si="203"/>
        <v>0</v>
      </c>
      <c r="AR544" s="49" t="e">
        <f t="shared" si="204"/>
        <v>#N/A</v>
      </c>
    </row>
    <row r="545" spans="1:44" ht="15">
      <c r="A545" s="38"/>
      <c r="B545" s="38"/>
      <c r="C545" s="38"/>
      <c r="D545" s="38"/>
      <c r="E545" s="38"/>
      <c r="F545" s="38"/>
      <c r="G545" s="47">
        <f t="shared" si="186"/>
        <v>6.5978850116714893E-2</v>
      </c>
      <c r="H545" s="44"/>
      <c r="I545" s="44"/>
      <c r="J545" s="45">
        <f t="shared" si="185"/>
        <v>0</v>
      </c>
      <c r="K545" s="38"/>
      <c r="L545" s="38"/>
      <c r="M545" s="38"/>
      <c r="N545" s="34" t="e">
        <f>VLOOKUP(F545,'GHG Emissions Factors'!$B$2:$C$4000,2,FALSE)</f>
        <v>#N/A</v>
      </c>
      <c r="O545" s="45" t="e">
        <f t="shared" si="187"/>
        <v>#N/A</v>
      </c>
      <c r="P545" s="34">
        <f>IF(L545="yes", 0, _xlfn.XLOOKUP(F545, 'GHG Emissions Factors'!$B$2:$B$4000, 'GHG Emissions Factors'!$D$2:$D$4000, 0))</f>
        <v>0</v>
      </c>
      <c r="Q545" s="46"/>
      <c r="R545" s="46"/>
      <c r="S545" s="46">
        <f>ProcurementAllocationData[[#This Row],[Net MWhs Procured]]-(ProcurementAllocationData[[#This Row],[Deep Green]]+ProcurementAllocationData[[#This Row],[LocalSol]]+ProcurementAllocationData[[#This Row],[GreenAccess]])</f>
        <v>0</v>
      </c>
      <c r="T545" s="46"/>
      <c r="U545" s="46"/>
      <c r="V545" s="46"/>
      <c r="W545" s="46"/>
      <c r="X545" s="46"/>
      <c r="Y545" s="112">
        <f t="shared" si="188"/>
        <v>0</v>
      </c>
      <c r="Z545" s="150">
        <f t="shared" si="189"/>
        <v>0</v>
      </c>
      <c r="AA545" s="150">
        <f t="shared" si="190"/>
        <v>0</v>
      </c>
      <c r="AB545" s="113">
        <f t="shared" si="191"/>
        <v>0</v>
      </c>
      <c r="AC545" s="36"/>
      <c r="AD545" s="272" t="str">
        <f t="shared" si="192"/>
        <v/>
      </c>
      <c r="AE545" s="273">
        <f t="shared" si="193"/>
        <v>0</v>
      </c>
      <c r="AF545" s="273">
        <f t="shared" si="194"/>
        <v>0</v>
      </c>
      <c r="AG545" s="273">
        <f t="shared" si="195"/>
        <v>0</v>
      </c>
      <c r="AH545" s="273">
        <f t="shared" si="196"/>
        <v>0</v>
      </c>
      <c r="AI545" s="273">
        <f t="shared" si="197"/>
        <v>0</v>
      </c>
      <c r="AJ545" s="273">
        <f t="shared" si="198"/>
        <v>0</v>
      </c>
      <c r="AK545" s="273">
        <f t="shared" si="199"/>
        <v>0</v>
      </c>
      <c r="AL545" s="274">
        <f t="shared" si="200"/>
        <v>0</v>
      </c>
      <c r="AN545" s="75" t="str">
        <f t="shared" si="201"/>
        <v>-</v>
      </c>
      <c r="AO545" s="75" t="str">
        <f t="shared" si="202"/>
        <v>-</v>
      </c>
      <c r="AP545" s="48">
        <f t="shared" si="205"/>
        <v>0</v>
      </c>
      <c r="AQ545" s="48">
        <f t="shared" si="203"/>
        <v>0</v>
      </c>
      <c r="AR545" s="49" t="e">
        <f t="shared" si="204"/>
        <v>#N/A</v>
      </c>
    </row>
    <row r="546" spans="1:44" ht="15">
      <c r="A546" s="38"/>
      <c r="B546" s="38"/>
      <c r="C546" s="38"/>
      <c r="D546" s="38"/>
      <c r="E546" s="38"/>
      <c r="F546" s="38"/>
      <c r="G546" s="47">
        <f t="shared" si="186"/>
        <v>6.5978850116714893E-2</v>
      </c>
      <c r="H546" s="44"/>
      <c r="I546" s="44"/>
      <c r="J546" s="45">
        <f t="shared" si="185"/>
        <v>0</v>
      </c>
      <c r="K546" s="38"/>
      <c r="L546" s="38"/>
      <c r="M546" s="38"/>
      <c r="N546" s="34" t="e">
        <f>VLOOKUP(F546,'GHG Emissions Factors'!$B$2:$C$4000,2,FALSE)</f>
        <v>#N/A</v>
      </c>
      <c r="O546" s="45" t="e">
        <f t="shared" si="187"/>
        <v>#N/A</v>
      </c>
      <c r="P546" s="34">
        <f>IF(L546="yes", 0, _xlfn.XLOOKUP(F546, 'GHG Emissions Factors'!$B$2:$B$4000, 'GHG Emissions Factors'!$D$2:$D$4000, 0))</f>
        <v>0</v>
      </c>
      <c r="Q546" s="46"/>
      <c r="R546" s="46"/>
      <c r="S546" s="46">
        <f>ProcurementAllocationData[[#This Row],[Net MWhs Procured]]-(ProcurementAllocationData[[#This Row],[Deep Green]]+ProcurementAllocationData[[#This Row],[LocalSol]]+ProcurementAllocationData[[#This Row],[GreenAccess]])</f>
        <v>0</v>
      </c>
      <c r="T546" s="46"/>
      <c r="U546" s="46"/>
      <c r="V546" s="46"/>
      <c r="W546" s="46"/>
      <c r="X546" s="46"/>
      <c r="Y546" s="112">
        <f t="shared" si="188"/>
        <v>0</v>
      </c>
      <c r="Z546" s="150">
        <f t="shared" si="189"/>
        <v>0</v>
      </c>
      <c r="AA546" s="150">
        <f t="shared" si="190"/>
        <v>0</v>
      </c>
      <c r="AB546" s="113">
        <f t="shared" si="191"/>
        <v>0</v>
      </c>
      <c r="AC546" s="36"/>
      <c r="AD546" s="272" t="str">
        <f t="shared" si="192"/>
        <v/>
      </c>
      <c r="AE546" s="273">
        <f t="shared" si="193"/>
        <v>0</v>
      </c>
      <c r="AF546" s="273">
        <f t="shared" si="194"/>
        <v>0</v>
      </c>
      <c r="AG546" s="273">
        <f t="shared" si="195"/>
        <v>0</v>
      </c>
      <c r="AH546" s="273">
        <f t="shared" si="196"/>
        <v>0</v>
      </c>
      <c r="AI546" s="273">
        <f t="shared" si="197"/>
        <v>0</v>
      </c>
      <c r="AJ546" s="273">
        <f t="shared" si="198"/>
        <v>0</v>
      </c>
      <c r="AK546" s="273">
        <f t="shared" si="199"/>
        <v>0</v>
      </c>
      <c r="AL546" s="274">
        <f t="shared" si="200"/>
        <v>0</v>
      </c>
      <c r="AN546" s="75" t="str">
        <f t="shared" si="201"/>
        <v>-</v>
      </c>
      <c r="AO546" s="75" t="str">
        <f t="shared" si="202"/>
        <v>-</v>
      </c>
      <c r="AP546" s="48">
        <f t="shared" si="205"/>
        <v>0</v>
      </c>
      <c r="AQ546" s="48">
        <f t="shared" si="203"/>
        <v>0</v>
      </c>
      <c r="AR546" s="49" t="e">
        <f t="shared" si="204"/>
        <v>#N/A</v>
      </c>
    </row>
    <row r="547" spans="1:44" ht="15">
      <c r="A547" s="38"/>
      <c r="B547" s="38"/>
      <c r="C547" s="38"/>
      <c r="D547" s="38"/>
      <c r="E547" s="38"/>
      <c r="F547" s="38"/>
      <c r="G547" s="47">
        <f t="shared" si="186"/>
        <v>6.5978850116714893E-2</v>
      </c>
      <c r="H547" s="44"/>
      <c r="I547" s="44"/>
      <c r="J547" s="45">
        <f t="shared" si="185"/>
        <v>0</v>
      </c>
      <c r="K547" s="38"/>
      <c r="L547" s="38"/>
      <c r="M547" s="38"/>
      <c r="N547" s="34" t="e">
        <f>VLOOKUP(F547,'GHG Emissions Factors'!$B$2:$C$4000,2,FALSE)</f>
        <v>#N/A</v>
      </c>
      <c r="O547" s="45" t="e">
        <f t="shared" si="187"/>
        <v>#N/A</v>
      </c>
      <c r="P547" s="34">
        <f>IF(L547="yes", 0, _xlfn.XLOOKUP(F547, 'GHG Emissions Factors'!$B$2:$B$4000, 'GHG Emissions Factors'!$D$2:$D$4000, 0))</f>
        <v>0</v>
      </c>
      <c r="Q547" s="46"/>
      <c r="R547" s="46"/>
      <c r="S547" s="46">
        <f>ProcurementAllocationData[[#This Row],[Net MWhs Procured]]-(ProcurementAllocationData[[#This Row],[Deep Green]]+ProcurementAllocationData[[#This Row],[LocalSol]]+ProcurementAllocationData[[#This Row],[GreenAccess]])</f>
        <v>0</v>
      </c>
      <c r="T547" s="46"/>
      <c r="U547" s="46"/>
      <c r="V547" s="46"/>
      <c r="W547" s="46"/>
      <c r="X547" s="46"/>
      <c r="Y547" s="112">
        <f t="shared" si="188"/>
        <v>0</v>
      </c>
      <c r="Z547" s="150">
        <f t="shared" si="189"/>
        <v>0</v>
      </c>
      <c r="AA547" s="150">
        <f t="shared" si="190"/>
        <v>0</v>
      </c>
      <c r="AB547" s="113">
        <f t="shared" si="191"/>
        <v>0</v>
      </c>
      <c r="AC547" s="36"/>
      <c r="AD547" s="272" t="str">
        <f t="shared" si="192"/>
        <v/>
      </c>
      <c r="AE547" s="273">
        <f t="shared" si="193"/>
        <v>0</v>
      </c>
      <c r="AF547" s="273">
        <f t="shared" si="194"/>
        <v>0</v>
      </c>
      <c r="AG547" s="273">
        <f t="shared" si="195"/>
        <v>0</v>
      </c>
      <c r="AH547" s="273">
        <f t="shared" si="196"/>
        <v>0</v>
      </c>
      <c r="AI547" s="273">
        <f t="shared" si="197"/>
        <v>0</v>
      </c>
      <c r="AJ547" s="273">
        <f t="shared" si="198"/>
        <v>0</v>
      </c>
      <c r="AK547" s="273">
        <f t="shared" si="199"/>
        <v>0</v>
      </c>
      <c r="AL547" s="274">
        <f t="shared" si="200"/>
        <v>0</v>
      </c>
      <c r="AN547" s="75" t="str">
        <f t="shared" si="201"/>
        <v>-</v>
      </c>
      <c r="AO547" s="75" t="str">
        <f t="shared" si="202"/>
        <v>-</v>
      </c>
      <c r="AP547" s="48">
        <f t="shared" si="205"/>
        <v>0</v>
      </c>
      <c r="AQ547" s="48">
        <f t="shared" si="203"/>
        <v>0</v>
      </c>
      <c r="AR547" s="49" t="e">
        <f t="shared" si="204"/>
        <v>#N/A</v>
      </c>
    </row>
    <row r="548" spans="1:44" ht="15">
      <c r="A548" s="38"/>
      <c r="B548" s="38"/>
      <c r="C548" s="38"/>
      <c r="D548" s="38"/>
      <c r="E548" s="38"/>
      <c r="F548" s="38"/>
      <c r="G548" s="47">
        <f t="shared" si="186"/>
        <v>6.5978850116714893E-2</v>
      </c>
      <c r="H548" s="44"/>
      <c r="I548" s="44"/>
      <c r="J548" s="45">
        <f t="shared" si="185"/>
        <v>0</v>
      </c>
      <c r="K548" s="38"/>
      <c r="L548" s="38"/>
      <c r="M548" s="38"/>
      <c r="N548" s="34" t="e">
        <f>VLOOKUP(F548,'GHG Emissions Factors'!$B$2:$C$4000,2,FALSE)</f>
        <v>#N/A</v>
      </c>
      <c r="O548" s="45" t="e">
        <f t="shared" si="187"/>
        <v>#N/A</v>
      </c>
      <c r="P548" s="34">
        <f>IF(L548="yes", 0, _xlfn.XLOOKUP(F548, 'GHG Emissions Factors'!$B$2:$B$4000, 'GHG Emissions Factors'!$D$2:$D$4000, 0))</f>
        <v>0</v>
      </c>
      <c r="Q548" s="46"/>
      <c r="R548" s="46"/>
      <c r="S548" s="46">
        <f>ProcurementAllocationData[[#This Row],[Net MWhs Procured]]-(ProcurementAllocationData[[#This Row],[Deep Green]]+ProcurementAllocationData[[#This Row],[LocalSol]]+ProcurementAllocationData[[#This Row],[GreenAccess]])</f>
        <v>0</v>
      </c>
      <c r="T548" s="46"/>
      <c r="U548" s="46"/>
      <c r="V548" s="46"/>
      <c r="W548" s="46"/>
      <c r="X548" s="46"/>
      <c r="Y548" s="112">
        <f t="shared" si="188"/>
        <v>0</v>
      </c>
      <c r="Z548" s="150">
        <f t="shared" si="189"/>
        <v>0</v>
      </c>
      <c r="AA548" s="150">
        <f t="shared" si="190"/>
        <v>0</v>
      </c>
      <c r="AB548" s="113">
        <f t="shared" si="191"/>
        <v>0</v>
      </c>
      <c r="AC548" s="36"/>
      <c r="AD548" s="272" t="str">
        <f t="shared" si="192"/>
        <v/>
      </c>
      <c r="AE548" s="273">
        <f t="shared" si="193"/>
        <v>0</v>
      </c>
      <c r="AF548" s="273">
        <f t="shared" si="194"/>
        <v>0</v>
      </c>
      <c r="AG548" s="273">
        <f t="shared" si="195"/>
        <v>0</v>
      </c>
      <c r="AH548" s="273">
        <f t="shared" si="196"/>
        <v>0</v>
      </c>
      <c r="AI548" s="273">
        <f t="shared" si="197"/>
        <v>0</v>
      </c>
      <c r="AJ548" s="273">
        <f t="shared" si="198"/>
        <v>0</v>
      </c>
      <c r="AK548" s="273">
        <f t="shared" si="199"/>
        <v>0</v>
      </c>
      <c r="AL548" s="274">
        <f t="shared" si="200"/>
        <v>0</v>
      </c>
      <c r="AN548" s="75" t="str">
        <f t="shared" si="201"/>
        <v>-</v>
      </c>
      <c r="AO548" s="75" t="str">
        <f t="shared" si="202"/>
        <v>-</v>
      </c>
      <c r="AP548" s="48">
        <f t="shared" si="205"/>
        <v>0</v>
      </c>
      <c r="AQ548" s="48">
        <f t="shared" si="203"/>
        <v>0</v>
      </c>
      <c r="AR548" s="49" t="e">
        <f t="shared" si="204"/>
        <v>#N/A</v>
      </c>
    </row>
    <row r="549" spans="1:44" ht="15">
      <c r="A549" s="38"/>
      <c r="B549" s="38"/>
      <c r="C549" s="38"/>
      <c r="D549" s="38"/>
      <c r="E549" s="38"/>
      <c r="F549" s="38"/>
      <c r="G549" s="47">
        <f t="shared" si="186"/>
        <v>6.5978850116714893E-2</v>
      </c>
      <c r="H549" s="44"/>
      <c r="I549" s="44"/>
      <c r="J549" s="45">
        <f t="shared" si="185"/>
        <v>0</v>
      </c>
      <c r="K549" s="38"/>
      <c r="L549" s="38"/>
      <c r="M549" s="38"/>
      <c r="N549" s="34" t="e">
        <f>VLOOKUP(F549,'GHG Emissions Factors'!$B$2:$C$4000,2,FALSE)</f>
        <v>#N/A</v>
      </c>
      <c r="O549" s="45" t="e">
        <f t="shared" si="187"/>
        <v>#N/A</v>
      </c>
      <c r="P549" s="34">
        <f>IF(L549="yes", 0, _xlfn.XLOOKUP(F549, 'GHG Emissions Factors'!$B$2:$B$4000, 'GHG Emissions Factors'!$D$2:$D$4000, 0))</f>
        <v>0</v>
      </c>
      <c r="Q549" s="46"/>
      <c r="R549" s="46"/>
      <c r="S549" s="46">
        <f>ProcurementAllocationData[[#This Row],[Net MWhs Procured]]-(ProcurementAllocationData[[#This Row],[Deep Green]]+ProcurementAllocationData[[#This Row],[LocalSol]]+ProcurementAllocationData[[#This Row],[GreenAccess]])</f>
        <v>0</v>
      </c>
      <c r="T549" s="46"/>
      <c r="U549" s="46"/>
      <c r="V549" s="46"/>
      <c r="W549" s="46"/>
      <c r="X549" s="46"/>
      <c r="Y549" s="112">
        <f t="shared" si="188"/>
        <v>0</v>
      </c>
      <c r="Z549" s="150">
        <f t="shared" si="189"/>
        <v>0</v>
      </c>
      <c r="AA549" s="150">
        <f t="shared" si="190"/>
        <v>0</v>
      </c>
      <c r="AB549" s="113">
        <f t="shared" si="191"/>
        <v>0</v>
      </c>
      <c r="AC549" s="36"/>
      <c r="AD549" s="272" t="str">
        <f t="shared" si="192"/>
        <v/>
      </c>
      <c r="AE549" s="273">
        <f t="shared" si="193"/>
        <v>0</v>
      </c>
      <c r="AF549" s="273">
        <f t="shared" si="194"/>
        <v>0</v>
      </c>
      <c r="AG549" s="273">
        <f t="shared" si="195"/>
        <v>0</v>
      </c>
      <c r="AH549" s="273">
        <f t="shared" si="196"/>
        <v>0</v>
      </c>
      <c r="AI549" s="273">
        <f t="shared" si="197"/>
        <v>0</v>
      </c>
      <c r="AJ549" s="273">
        <f t="shared" si="198"/>
        <v>0</v>
      </c>
      <c r="AK549" s="273">
        <f t="shared" si="199"/>
        <v>0</v>
      </c>
      <c r="AL549" s="274">
        <f t="shared" si="200"/>
        <v>0</v>
      </c>
      <c r="AN549" s="75" t="str">
        <f t="shared" si="201"/>
        <v>-</v>
      </c>
      <c r="AO549" s="75" t="str">
        <f t="shared" si="202"/>
        <v>-</v>
      </c>
      <c r="AP549" s="48">
        <f t="shared" si="205"/>
        <v>0</v>
      </c>
      <c r="AQ549" s="48">
        <f t="shared" si="203"/>
        <v>0</v>
      </c>
      <c r="AR549" s="49" t="e">
        <f t="shared" si="204"/>
        <v>#N/A</v>
      </c>
    </row>
    <row r="550" spans="1:44" ht="15">
      <c r="A550" s="38"/>
      <c r="B550" s="38"/>
      <c r="C550" s="38"/>
      <c r="D550" s="38"/>
      <c r="E550" s="38"/>
      <c r="F550" s="38"/>
      <c r="G550" s="47">
        <f t="shared" si="186"/>
        <v>6.5978850116714893E-2</v>
      </c>
      <c r="H550" s="44"/>
      <c r="I550" s="44"/>
      <c r="J550" s="45">
        <f t="shared" si="185"/>
        <v>0</v>
      </c>
      <c r="K550" s="38"/>
      <c r="L550" s="38"/>
      <c r="M550" s="38"/>
      <c r="N550" s="34" t="e">
        <f>VLOOKUP(F550,'GHG Emissions Factors'!$B$2:$C$4000,2,FALSE)</f>
        <v>#N/A</v>
      </c>
      <c r="O550" s="45" t="e">
        <f t="shared" si="187"/>
        <v>#N/A</v>
      </c>
      <c r="P550" s="34">
        <f>IF(L550="yes", 0, _xlfn.XLOOKUP(F550, 'GHG Emissions Factors'!$B$2:$B$4000, 'GHG Emissions Factors'!$D$2:$D$4000, 0))</f>
        <v>0</v>
      </c>
      <c r="Q550" s="46"/>
      <c r="R550" s="46"/>
      <c r="S550" s="46">
        <f>ProcurementAllocationData[[#This Row],[Net MWhs Procured]]-(ProcurementAllocationData[[#This Row],[Deep Green]]+ProcurementAllocationData[[#This Row],[LocalSol]]+ProcurementAllocationData[[#This Row],[GreenAccess]])</f>
        <v>0</v>
      </c>
      <c r="T550" s="46"/>
      <c r="U550" s="46"/>
      <c r="V550" s="46"/>
      <c r="W550" s="46"/>
      <c r="X550" s="46"/>
      <c r="Y550" s="112">
        <f t="shared" si="188"/>
        <v>0</v>
      </c>
      <c r="Z550" s="150">
        <f t="shared" si="189"/>
        <v>0</v>
      </c>
      <c r="AA550" s="150">
        <f t="shared" si="190"/>
        <v>0</v>
      </c>
      <c r="AB550" s="113">
        <f t="shared" si="191"/>
        <v>0</v>
      </c>
      <c r="AC550" s="36"/>
      <c r="AD550" s="272" t="str">
        <f t="shared" si="192"/>
        <v/>
      </c>
      <c r="AE550" s="273">
        <f t="shared" si="193"/>
        <v>0</v>
      </c>
      <c r="AF550" s="273">
        <f t="shared" si="194"/>
        <v>0</v>
      </c>
      <c r="AG550" s="273">
        <f t="shared" si="195"/>
        <v>0</v>
      </c>
      <c r="AH550" s="273">
        <f t="shared" si="196"/>
        <v>0</v>
      </c>
      <c r="AI550" s="273">
        <f t="shared" si="197"/>
        <v>0</v>
      </c>
      <c r="AJ550" s="273">
        <f t="shared" si="198"/>
        <v>0</v>
      </c>
      <c r="AK550" s="273">
        <f t="shared" si="199"/>
        <v>0</v>
      </c>
      <c r="AL550" s="274">
        <f t="shared" si="200"/>
        <v>0</v>
      </c>
      <c r="AN550" s="75" t="str">
        <f t="shared" si="201"/>
        <v>-</v>
      </c>
      <c r="AO550" s="75" t="str">
        <f t="shared" si="202"/>
        <v>-</v>
      </c>
      <c r="AP550" s="48">
        <f t="shared" si="205"/>
        <v>0</v>
      </c>
      <c r="AQ550" s="48">
        <f t="shared" si="203"/>
        <v>0</v>
      </c>
      <c r="AR550" s="49" t="e">
        <f t="shared" si="204"/>
        <v>#N/A</v>
      </c>
    </row>
    <row r="551" spans="1:44" ht="15">
      <c r="A551" s="38"/>
      <c r="B551" s="38"/>
      <c r="C551" s="38"/>
      <c r="D551" s="38"/>
      <c r="E551" s="38"/>
      <c r="F551" s="38"/>
      <c r="G551" s="47">
        <f t="shared" si="186"/>
        <v>6.5978850116714893E-2</v>
      </c>
      <c r="H551" s="44"/>
      <c r="I551" s="44"/>
      <c r="J551" s="45">
        <f t="shared" si="185"/>
        <v>0</v>
      </c>
      <c r="K551" s="38"/>
      <c r="L551" s="38"/>
      <c r="M551" s="38"/>
      <c r="N551" s="34" t="e">
        <f>VLOOKUP(F551,'GHG Emissions Factors'!$B$2:$C$4000,2,FALSE)</f>
        <v>#N/A</v>
      </c>
      <c r="O551" s="45" t="e">
        <f t="shared" si="187"/>
        <v>#N/A</v>
      </c>
      <c r="P551" s="34">
        <f>IF(L551="yes", 0, _xlfn.XLOOKUP(F551, 'GHG Emissions Factors'!$B$2:$B$4000, 'GHG Emissions Factors'!$D$2:$D$4000, 0))</f>
        <v>0</v>
      </c>
      <c r="Q551" s="46"/>
      <c r="R551" s="46"/>
      <c r="S551" s="46">
        <f>ProcurementAllocationData[[#This Row],[Net MWhs Procured]]-(ProcurementAllocationData[[#This Row],[Deep Green]]+ProcurementAllocationData[[#This Row],[LocalSol]]+ProcurementAllocationData[[#This Row],[GreenAccess]])</f>
        <v>0</v>
      </c>
      <c r="T551" s="46"/>
      <c r="U551" s="46"/>
      <c r="V551" s="46"/>
      <c r="W551" s="46"/>
      <c r="X551" s="46"/>
      <c r="Y551" s="112">
        <f t="shared" si="188"/>
        <v>0</v>
      </c>
      <c r="Z551" s="150">
        <f t="shared" si="189"/>
        <v>0</v>
      </c>
      <c r="AA551" s="150">
        <f t="shared" si="190"/>
        <v>0</v>
      </c>
      <c r="AB551" s="113">
        <f t="shared" si="191"/>
        <v>0</v>
      </c>
      <c r="AC551" s="36"/>
      <c r="AD551" s="272" t="str">
        <f t="shared" si="192"/>
        <v/>
      </c>
      <c r="AE551" s="273">
        <f t="shared" si="193"/>
        <v>0</v>
      </c>
      <c r="AF551" s="273">
        <f t="shared" si="194"/>
        <v>0</v>
      </c>
      <c r="AG551" s="273">
        <f t="shared" si="195"/>
        <v>0</v>
      </c>
      <c r="AH551" s="273">
        <f t="shared" si="196"/>
        <v>0</v>
      </c>
      <c r="AI551" s="273">
        <f t="shared" si="197"/>
        <v>0</v>
      </c>
      <c r="AJ551" s="273">
        <f t="shared" si="198"/>
        <v>0</v>
      </c>
      <c r="AK551" s="273">
        <f t="shared" si="199"/>
        <v>0</v>
      </c>
      <c r="AL551" s="274">
        <f t="shared" si="200"/>
        <v>0</v>
      </c>
      <c r="AN551" s="75" t="str">
        <f t="shared" si="201"/>
        <v>-</v>
      </c>
      <c r="AO551" s="75" t="str">
        <f t="shared" si="202"/>
        <v>-</v>
      </c>
      <c r="AP551" s="48">
        <f t="shared" si="205"/>
        <v>0</v>
      </c>
      <c r="AQ551" s="48">
        <f t="shared" si="203"/>
        <v>0</v>
      </c>
      <c r="AR551" s="49" t="e">
        <f t="shared" si="204"/>
        <v>#N/A</v>
      </c>
    </row>
    <row r="552" spans="1:44" ht="15">
      <c r="A552" s="38"/>
      <c r="B552" s="38"/>
      <c r="C552" s="38"/>
      <c r="D552" s="38"/>
      <c r="E552" s="38"/>
      <c r="F552" s="38"/>
      <c r="G552" s="47">
        <f t="shared" si="186"/>
        <v>6.5978850116714893E-2</v>
      </c>
      <c r="H552" s="44"/>
      <c r="I552" s="44"/>
      <c r="J552" s="45">
        <f t="shared" si="185"/>
        <v>0</v>
      </c>
      <c r="K552" s="38"/>
      <c r="L552" s="38"/>
      <c r="M552" s="38"/>
      <c r="N552" s="34" t="e">
        <f>VLOOKUP(F552,'GHG Emissions Factors'!$B$2:$C$4000,2,FALSE)</f>
        <v>#N/A</v>
      </c>
      <c r="O552" s="45" t="e">
        <f t="shared" si="187"/>
        <v>#N/A</v>
      </c>
      <c r="P552" s="34">
        <f>IF(L552="yes", 0, _xlfn.XLOOKUP(F552, 'GHG Emissions Factors'!$B$2:$B$4000, 'GHG Emissions Factors'!$D$2:$D$4000, 0))</f>
        <v>0</v>
      </c>
      <c r="Q552" s="46"/>
      <c r="R552" s="46"/>
      <c r="S552" s="46">
        <f>ProcurementAllocationData[[#This Row],[Net MWhs Procured]]-(ProcurementAllocationData[[#This Row],[Deep Green]]+ProcurementAllocationData[[#This Row],[LocalSol]]+ProcurementAllocationData[[#This Row],[GreenAccess]])</f>
        <v>0</v>
      </c>
      <c r="T552" s="46"/>
      <c r="U552" s="46"/>
      <c r="V552" s="46"/>
      <c r="W552" s="46"/>
      <c r="X552" s="46"/>
      <c r="Y552" s="112">
        <f t="shared" si="188"/>
        <v>0</v>
      </c>
      <c r="Z552" s="150">
        <f t="shared" si="189"/>
        <v>0</v>
      </c>
      <c r="AA552" s="150">
        <f t="shared" si="190"/>
        <v>0</v>
      </c>
      <c r="AB552" s="113">
        <f t="shared" si="191"/>
        <v>0</v>
      </c>
      <c r="AC552" s="36"/>
      <c r="AD552" s="272" t="str">
        <f t="shared" si="192"/>
        <v/>
      </c>
      <c r="AE552" s="273">
        <f t="shared" si="193"/>
        <v>0</v>
      </c>
      <c r="AF552" s="273">
        <f t="shared" si="194"/>
        <v>0</v>
      </c>
      <c r="AG552" s="273">
        <f t="shared" si="195"/>
        <v>0</v>
      </c>
      <c r="AH552" s="273">
        <f t="shared" si="196"/>
        <v>0</v>
      </c>
      <c r="AI552" s="273">
        <f t="shared" si="197"/>
        <v>0</v>
      </c>
      <c r="AJ552" s="273">
        <f t="shared" si="198"/>
        <v>0</v>
      </c>
      <c r="AK552" s="273">
        <f t="shared" si="199"/>
        <v>0</v>
      </c>
      <c r="AL552" s="274">
        <f t="shared" si="200"/>
        <v>0</v>
      </c>
      <c r="AN552" s="75" t="str">
        <f t="shared" si="201"/>
        <v>-</v>
      </c>
      <c r="AO552" s="75" t="str">
        <f t="shared" si="202"/>
        <v>-</v>
      </c>
      <c r="AP552" s="48">
        <f t="shared" si="205"/>
        <v>0</v>
      </c>
      <c r="AQ552" s="48">
        <f t="shared" si="203"/>
        <v>0</v>
      </c>
      <c r="AR552" s="49" t="e">
        <f t="shared" si="204"/>
        <v>#N/A</v>
      </c>
    </row>
    <row r="553" spans="1:44" ht="15">
      <c r="A553" s="38"/>
      <c r="B553" s="38"/>
      <c r="C553" s="38"/>
      <c r="D553" s="38"/>
      <c r="E553" s="38"/>
      <c r="F553" s="38"/>
      <c r="G553" s="47">
        <f t="shared" si="186"/>
        <v>6.5978850116714893E-2</v>
      </c>
      <c r="H553" s="44"/>
      <c r="I553" s="44"/>
      <c r="J553" s="45">
        <f t="shared" si="185"/>
        <v>0</v>
      </c>
      <c r="K553" s="38"/>
      <c r="L553" s="38"/>
      <c r="M553" s="38"/>
      <c r="N553" s="34" t="e">
        <f>VLOOKUP(F553,'GHG Emissions Factors'!$B$2:$C$4000,2,FALSE)</f>
        <v>#N/A</v>
      </c>
      <c r="O553" s="45" t="e">
        <f t="shared" si="187"/>
        <v>#N/A</v>
      </c>
      <c r="P553" s="34">
        <f>IF(L553="yes", 0, _xlfn.XLOOKUP(F553, 'GHG Emissions Factors'!$B$2:$B$4000, 'GHG Emissions Factors'!$D$2:$D$4000, 0))</f>
        <v>0</v>
      </c>
      <c r="Q553" s="46"/>
      <c r="R553" s="46"/>
      <c r="S553" s="46">
        <f>ProcurementAllocationData[[#This Row],[Net MWhs Procured]]-(ProcurementAllocationData[[#This Row],[Deep Green]]+ProcurementAllocationData[[#This Row],[LocalSol]]+ProcurementAllocationData[[#This Row],[GreenAccess]])</f>
        <v>0</v>
      </c>
      <c r="T553" s="46"/>
      <c r="U553" s="46"/>
      <c r="V553" s="46"/>
      <c r="W553" s="46"/>
      <c r="X553" s="46"/>
      <c r="Y553" s="112">
        <f t="shared" si="188"/>
        <v>0</v>
      </c>
      <c r="Z553" s="150">
        <f t="shared" si="189"/>
        <v>0</v>
      </c>
      <c r="AA553" s="150">
        <f t="shared" si="190"/>
        <v>0</v>
      </c>
      <c r="AB553" s="113">
        <f t="shared" si="191"/>
        <v>0</v>
      </c>
      <c r="AC553" s="36"/>
      <c r="AD553" s="272" t="str">
        <f t="shared" si="192"/>
        <v/>
      </c>
      <c r="AE553" s="273">
        <f t="shared" si="193"/>
        <v>0</v>
      </c>
      <c r="AF553" s="273">
        <f t="shared" si="194"/>
        <v>0</v>
      </c>
      <c r="AG553" s="273">
        <f t="shared" si="195"/>
        <v>0</v>
      </c>
      <c r="AH553" s="273">
        <f t="shared" si="196"/>
        <v>0</v>
      </c>
      <c r="AI553" s="273">
        <f t="shared" si="197"/>
        <v>0</v>
      </c>
      <c r="AJ553" s="273">
        <f t="shared" si="198"/>
        <v>0</v>
      </c>
      <c r="AK553" s="273">
        <f t="shared" si="199"/>
        <v>0</v>
      </c>
      <c r="AL553" s="274">
        <f t="shared" si="200"/>
        <v>0</v>
      </c>
      <c r="AN553" s="75" t="str">
        <f t="shared" si="201"/>
        <v>-</v>
      </c>
      <c r="AO553" s="75" t="str">
        <f t="shared" si="202"/>
        <v>-</v>
      </c>
      <c r="AP553" s="48">
        <f t="shared" si="205"/>
        <v>0</v>
      </c>
      <c r="AQ553" s="48">
        <f t="shared" si="203"/>
        <v>0</v>
      </c>
      <c r="AR553" s="49" t="e">
        <f t="shared" si="204"/>
        <v>#N/A</v>
      </c>
    </row>
    <row r="554" spans="1:44" ht="15">
      <c r="A554" s="38"/>
      <c r="B554" s="38"/>
      <c r="C554" s="38"/>
      <c r="D554" s="38"/>
      <c r="E554" s="38"/>
      <c r="F554" s="38"/>
      <c r="G554" s="47">
        <f t="shared" si="186"/>
        <v>6.5978850116714893E-2</v>
      </c>
      <c r="H554" s="44"/>
      <c r="I554" s="44"/>
      <c r="J554" s="45">
        <f t="shared" si="185"/>
        <v>0</v>
      </c>
      <c r="K554" s="38"/>
      <c r="L554" s="38"/>
      <c r="M554" s="38"/>
      <c r="N554" s="34" t="e">
        <f>VLOOKUP(F554,'GHG Emissions Factors'!$B$2:$C$4000,2,FALSE)</f>
        <v>#N/A</v>
      </c>
      <c r="O554" s="45" t="e">
        <f t="shared" si="187"/>
        <v>#N/A</v>
      </c>
      <c r="P554" s="34">
        <f>IF(L554="yes", 0, _xlfn.XLOOKUP(F554, 'GHG Emissions Factors'!$B$2:$B$4000, 'GHG Emissions Factors'!$D$2:$D$4000, 0))</f>
        <v>0</v>
      </c>
      <c r="Q554" s="46"/>
      <c r="R554" s="46"/>
      <c r="S554" s="46">
        <f>ProcurementAllocationData[[#This Row],[Net MWhs Procured]]-(ProcurementAllocationData[[#This Row],[Deep Green]]+ProcurementAllocationData[[#This Row],[LocalSol]]+ProcurementAllocationData[[#This Row],[GreenAccess]])</f>
        <v>0</v>
      </c>
      <c r="T554" s="46"/>
      <c r="U554" s="46"/>
      <c r="V554" s="46"/>
      <c r="W554" s="46"/>
      <c r="X554" s="46"/>
      <c r="Y554" s="112">
        <f t="shared" si="188"/>
        <v>0</v>
      </c>
      <c r="Z554" s="150">
        <f t="shared" si="189"/>
        <v>0</v>
      </c>
      <c r="AA554" s="150">
        <f t="shared" si="190"/>
        <v>0</v>
      </c>
      <c r="AB554" s="113">
        <f t="shared" si="191"/>
        <v>0</v>
      </c>
      <c r="AC554" s="36"/>
      <c r="AD554" s="272" t="str">
        <f t="shared" si="192"/>
        <v/>
      </c>
      <c r="AE554" s="273">
        <f t="shared" si="193"/>
        <v>0</v>
      </c>
      <c r="AF554" s="273">
        <f t="shared" si="194"/>
        <v>0</v>
      </c>
      <c r="AG554" s="273">
        <f t="shared" si="195"/>
        <v>0</v>
      </c>
      <c r="AH554" s="273">
        <f t="shared" si="196"/>
        <v>0</v>
      </c>
      <c r="AI554" s="273">
        <f t="shared" si="197"/>
        <v>0</v>
      </c>
      <c r="AJ554" s="273">
        <f t="shared" si="198"/>
        <v>0</v>
      </c>
      <c r="AK554" s="273">
        <f t="shared" si="199"/>
        <v>0</v>
      </c>
      <c r="AL554" s="274">
        <f t="shared" si="200"/>
        <v>0</v>
      </c>
      <c r="AN554" s="75" t="str">
        <f t="shared" si="201"/>
        <v>-</v>
      </c>
      <c r="AO554" s="75" t="str">
        <f t="shared" si="202"/>
        <v>-</v>
      </c>
      <c r="AP554" s="48">
        <f t="shared" si="205"/>
        <v>0</v>
      </c>
      <c r="AQ554" s="48">
        <f t="shared" si="203"/>
        <v>0</v>
      </c>
      <c r="AR554" s="49" t="e">
        <f t="shared" si="204"/>
        <v>#N/A</v>
      </c>
    </row>
    <row r="555" spans="1:44" ht="15">
      <c r="A555" s="38"/>
      <c r="B555" s="38"/>
      <c r="C555" s="38"/>
      <c r="D555" s="38"/>
      <c r="E555" s="38"/>
      <c r="F555" s="38"/>
      <c r="G555" s="47">
        <f t="shared" si="186"/>
        <v>6.5978850116714893E-2</v>
      </c>
      <c r="H555" s="44"/>
      <c r="I555" s="44"/>
      <c r="J555" s="45">
        <f t="shared" si="185"/>
        <v>0</v>
      </c>
      <c r="K555" s="38"/>
      <c r="L555" s="38"/>
      <c r="M555" s="38"/>
      <c r="N555" s="34" t="e">
        <f>VLOOKUP(F555,'GHG Emissions Factors'!$B$2:$C$4000,2,FALSE)</f>
        <v>#N/A</v>
      </c>
      <c r="O555" s="45" t="e">
        <f t="shared" si="187"/>
        <v>#N/A</v>
      </c>
      <c r="P555" s="34">
        <f>IF(L555="yes", 0, _xlfn.XLOOKUP(F555, 'GHG Emissions Factors'!$B$2:$B$4000, 'GHG Emissions Factors'!$D$2:$D$4000, 0))</f>
        <v>0</v>
      </c>
      <c r="Q555" s="46"/>
      <c r="R555" s="46"/>
      <c r="S555" s="46">
        <f>ProcurementAllocationData[[#This Row],[Net MWhs Procured]]-(ProcurementAllocationData[[#This Row],[Deep Green]]+ProcurementAllocationData[[#This Row],[LocalSol]]+ProcurementAllocationData[[#This Row],[GreenAccess]])</f>
        <v>0</v>
      </c>
      <c r="T555" s="46"/>
      <c r="U555" s="46"/>
      <c r="V555" s="46"/>
      <c r="W555" s="46"/>
      <c r="X555" s="46"/>
      <c r="Y555" s="112">
        <f t="shared" si="188"/>
        <v>0</v>
      </c>
      <c r="Z555" s="150">
        <f t="shared" si="189"/>
        <v>0</v>
      </c>
      <c r="AA555" s="150">
        <f t="shared" si="190"/>
        <v>0</v>
      </c>
      <c r="AB555" s="113">
        <f t="shared" si="191"/>
        <v>0</v>
      </c>
      <c r="AC555" s="36"/>
      <c r="AD555" s="272" t="str">
        <f t="shared" si="192"/>
        <v/>
      </c>
      <c r="AE555" s="273">
        <f t="shared" si="193"/>
        <v>0</v>
      </c>
      <c r="AF555" s="273">
        <f t="shared" si="194"/>
        <v>0</v>
      </c>
      <c r="AG555" s="273">
        <f t="shared" si="195"/>
        <v>0</v>
      </c>
      <c r="AH555" s="273">
        <f t="shared" si="196"/>
        <v>0</v>
      </c>
      <c r="AI555" s="273">
        <f t="shared" si="197"/>
        <v>0</v>
      </c>
      <c r="AJ555" s="273">
        <f t="shared" si="198"/>
        <v>0</v>
      </c>
      <c r="AK555" s="273">
        <f t="shared" si="199"/>
        <v>0</v>
      </c>
      <c r="AL555" s="274">
        <f t="shared" si="200"/>
        <v>0</v>
      </c>
      <c r="AN555" s="75" t="str">
        <f t="shared" si="201"/>
        <v>-</v>
      </c>
      <c r="AO555" s="75" t="str">
        <f t="shared" si="202"/>
        <v>-</v>
      </c>
      <c r="AP555" s="48">
        <f t="shared" si="205"/>
        <v>0</v>
      </c>
      <c r="AQ555" s="48">
        <f t="shared" si="203"/>
        <v>0</v>
      </c>
      <c r="AR555" s="49" t="e">
        <f t="shared" si="204"/>
        <v>#N/A</v>
      </c>
    </row>
    <row r="556" spans="1:44" ht="15">
      <c r="A556" s="38"/>
      <c r="B556" s="38"/>
      <c r="C556" s="38"/>
      <c r="D556" s="38"/>
      <c r="E556" s="38"/>
      <c r="F556" s="38"/>
      <c r="G556" s="47">
        <f t="shared" si="186"/>
        <v>6.5978850116714893E-2</v>
      </c>
      <c r="H556" s="44"/>
      <c r="I556" s="44"/>
      <c r="J556" s="45">
        <f t="shared" si="185"/>
        <v>0</v>
      </c>
      <c r="K556" s="38"/>
      <c r="L556" s="38"/>
      <c r="M556" s="38"/>
      <c r="N556" s="34" t="e">
        <f>VLOOKUP(F556,'GHG Emissions Factors'!$B$2:$C$4000,2,FALSE)</f>
        <v>#N/A</v>
      </c>
      <c r="O556" s="45" t="e">
        <f t="shared" si="187"/>
        <v>#N/A</v>
      </c>
      <c r="P556" s="34">
        <f>IF(L556="yes", 0, _xlfn.XLOOKUP(F556, 'GHG Emissions Factors'!$B$2:$B$4000, 'GHG Emissions Factors'!$D$2:$D$4000, 0))</f>
        <v>0</v>
      </c>
      <c r="Q556" s="46"/>
      <c r="R556" s="46"/>
      <c r="S556" s="46">
        <f>ProcurementAllocationData[[#This Row],[Net MWhs Procured]]-(ProcurementAllocationData[[#This Row],[Deep Green]]+ProcurementAllocationData[[#This Row],[LocalSol]]+ProcurementAllocationData[[#This Row],[GreenAccess]])</f>
        <v>0</v>
      </c>
      <c r="T556" s="46"/>
      <c r="U556" s="46"/>
      <c r="V556" s="46"/>
      <c r="W556" s="46"/>
      <c r="X556" s="46"/>
      <c r="Y556" s="112">
        <f t="shared" si="188"/>
        <v>0</v>
      </c>
      <c r="Z556" s="150">
        <f t="shared" si="189"/>
        <v>0</v>
      </c>
      <c r="AA556" s="150">
        <f t="shared" si="190"/>
        <v>0</v>
      </c>
      <c r="AB556" s="113">
        <f t="shared" si="191"/>
        <v>0</v>
      </c>
      <c r="AC556" s="36"/>
      <c r="AD556" s="272" t="str">
        <f t="shared" si="192"/>
        <v/>
      </c>
      <c r="AE556" s="273">
        <f t="shared" si="193"/>
        <v>0</v>
      </c>
      <c r="AF556" s="273">
        <f t="shared" si="194"/>
        <v>0</v>
      </c>
      <c r="AG556" s="273">
        <f t="shared" si="195"/>
        <v>0</v>
      </c>
      <c r="AH556" s="273">
        <f t="shared" si="196"/>
        <v>0</v>
      </c>
      <c r="AI556" s="273">
        <f t="shared" si="197"/>
        <v>0</v>
      </c>
      <c r="AJ556" s="273">
        <f t="shared" si="198"/>
        <v>0</v>
      </c>
      <c r="AK556" s="273">
        <f t="shared" si="199"/>
        <v>0</v>
      </c>
      <c r="AL556" s="274">
        <f t="shared" si="200"/>
        <v>0</v>
      </c>
      <c r="AN556" s="75" t="str">
        <f t="shared" si="201"/>
        <v>-</v>
      </c>
      <c r="AO556" s="75" t="str">
        <f t="shared" si="202"/>
        <v>-</v>
      </c>
      <c r="AP556" s="48">
        <f t="shared" si="205"/>
        <v>0</v>
      </c>
      <c r="AQ556" s="48">
        <f t="shared" si="203"/>
        <v>0</v>
      </c>
      <c r="AR556" s="49" t="e">
        <f t="shared" si="204"/>
        <v>#N/A</v>
      </c>
    </row>
    <row r="557" spans="1:44" ht="15">
      <c r="A557" s="38"/>
      <c r="B557" s="38"/>
      <c r="C557" s="38"/>
      <c r="D557" s="38"/>
      <c r="E557" s="38"/>
      <c r="F557" s="38"/>
      <c r="G557" s="47">
        <f t="shared" si="186"/>
        <v>6.5978850116714893E-2</v>
      </c>
      <c r="H557" s="44"/>
      <c r="I557" s="44"/>
      <c r="J557" s="45">
        <f t="shared" si="185"/>
        <v>0</v>
      </c>
      <c r="K557" s="38"/>
      <c r="L557" s="38"/>
      <c r="M557" s="38"/>
      <c r="N557" s="34" t="e">
        <f>VLOOKUP(F557,'GHG Emissions Factors'!$B$2:$C$4000,2,FALSE)</f>
        <v>#N/A</v>
      </c>
      <c r="O557" s="45" t="e">
        <f t="shared" si="187"/>
        <v>#N/A</v>
      </c>
      <c r="P557" s="34">
        <f>IF(L557="yes", 0, _xlfn.XLOOKUP(F557, 'GHG Emissions Factors'!$B$2:$B$4000, 'GHG Emissions Factors'!$D$2:$D$4000, 0))</f>
        <v>0</v>
      </c>
      <c r="Q557" s="46"/>
      <c r="R557" s="46"/>
      <c r="S557" s="46">
        <f>ProcurementAllocationData[[#This Row],[Net MWhs Procured]]-(ProcurementAllocationData[[#This Row],[Deep Green]]+ProcurementAllocationData[[#This Row],[LocalSol]]+ProcurementAllocationData[[#This Row],[GreenAccess]])</f>
        <v>0</v>
      </c>
      <c r="T557" s="46"/>
      <c r="U557" s="46"/>
      <c r="V557" s="46"/>
      <c r="W557" s="46"/>
      <c r="X557" s="46"/>
      <c r="Y557" s="112">
        <f t="shared" si="188"/>
        <v>0</v>
      </c>
      <c r="Z557" s="150">
        <f t="shared" si="189"/>
        <v>0</v>
      </c>
      <c r="AA557" s="150">
        <f t="shared" si="190"/>
        <v>0</v>
      </c>
      <c r="AB557" s="113">
        <f t="shared" si="191"/>
        <v>0</v>
      </c>
      <c r="AC557" s="36"/>
      <c r="AD557" s="272" t="str">
        <f t="shared" si="192"/>
        <v/>
      </c>
      <c r="AE557" s="273">
        <f t="shared" si="193"/>
        <v>0</v>
      </c>
      <c r="AF557" s="273">
        <f t="shared" si="194"/>
        <v>0</v>
      </c>
      <c r="AG557" s="273">
        <f t="shared" si="195"/>
        <v>0</v>
      </c>
      <c r="AH557" s="273">
        <f t="shared" si="196"/>
        <v>0</v>
      </c>
      <c r="AI557" s="273">
        <f t="shared" si="197"/>
        <v>0</v>
      </c>
      <c r="AJ557" s="273">
        <f t="shared" si="198"/>
        <v>0</v>
      </c>
      <c r="AK557" s="273">
        <f t="shared" si="199"/>
        <v>0</v>
      </c>
      <c r="AL557" s="274">
        <f t="shared" si="200"/>
        <v>0</v>
      </c>
      <c r="AN557" s="75" t="str">
        <f t="shared" si="201"/>
        <v>-</v>
      </c>
      <c r="AO557" s="75" t="str">
        <f t="shared" si="202"/>
        <v>-</v>
      </c>
      <c r="AP557" s="48">
        <f t="shared" si="205"/>
        <v>0</v>
      </c>
      <c r="AQ557" s="48">
        <f t="shared" si="203"/>
        <v>0</v>
      </c>
      <c r="AR557" s="49" t="e">
        <f t="shared" si="204"/>
        <v>#N/A</v>
      </c>
    </row>
    <row r="558" spans="1:44" ht="15">
      <c r="A558" s="38"/>
      <c r="B558" s="38"/>
      <c r="C558" s="38"/>
      <c r="D558" s="38"/>
      <c r="E558" s="38"/>
      <c r="F558" s="38"/>
      <c r="G558" s="47">
        <f t="shared" si="186"/>
        <v>6.5978850116714893E-2</v>
      </c>
      <c r="H558" s="44"/>
      <c r="I558" s="44"/>
      <c r="J558" s="45">
        <f t="shared" si="185"/>
        <v>0</v>
      </c>
      <c r="K558" s="38"/>
      <c r="L558" s="38"/>
      <c r="M558" s="38"/>
      <c r="N558" s="34" t="e">
        <f>VLOOKUP(F558,'GHG Emissions Factors'!$B$2:$C$4000,2,FALSE)</f>
        <v>#N/A</v>
      </c>
      <c r="O558" s="45" t="e">
        <f t="shared" si="187"/>
        <v>#N/A</v>
      </c>
      <c r="P558" s="34">
        <f>IF(L558="yes", 0, _xlfn.XLOOKUP(F558, 'GHG Emissions Factors'!$B$2:$B$4000, 'GHG Emissions Factors'!$D$2:$D$4000, 0))</f>
        <v>0</v>
      </c>
      <c r="Q558" s="46"/>
      <c r="R558" s="46"/>
      <c r="S558" s="46">
        <f>ProcurementAllocationData[[#This Row],[Net MWhs Procured]]-(ProcurementAllocationData[[#This Row],[Deep Green]]+ProcurementAllocationData[[#This Row],[LocalSol]]+ProcurementAllocationData[[#This Row],[GreenAccess]])</f>
        <v>0</v>
      </c>
      <c r="T558" s="46"/>
      <c r="U558" s="46"/>
      <c r="V558" s="46"/>
      <c r="W558" s="46"/>
      <c r="X558" s="46"/>
      <c r="Y558" s="112">
        <f t="shared" si="188"/>
        <v>0</v>
      </c>
      <c r="Z558" s="150">
        <f t="shared" si="189"/>
        <v>0</v>
      </c>
      <c r="AA558" s="150">
        <f t="shared" si="190"/>
        <v>0</v>
      </c>
      <c r="AB558" s="113">
        <f t="shared" si="191"/>
        <v>0</v>
      </c>
      <c r="AC558" s="36"/>
      <c r="AD558" s="272" t="str">
        <f t="shared" si="192"/>
        <v/>
      </c>
      <c r="AE558" s="273">
        <f t="shared" si="193"/>
        <v>0</v>
      </c>
      <c r="AF558" s="273">
        <f t="shared" si="194"/>
        <v>0</v>
      </c>
      <c r="AG558" s="273">
        <f t="shared" si="195"/>
        <v>0</v>
      </c>
      <c r="AH558" s="273">
        <f t="shared" si="196"/>
        <v>0</v>
      </c>
      <c r="AI558" s="273">
        <f t="shared" si="197"/>
        <v>0</v>
      </c>
      <c r="AJ558" s="273">
        <f t="shared" si="198"/>
        <v>0</v>
      </c>
      <c r="AK558" s="273">
        <f t="shared" si="199"/>
        <v>0</v>
      </c>
      <c r="AL558" s="274">
        <f t="shared" si="200"/>
        <v>0</v>
      </c>
      <c r="AN558" s="75" t="str">
        <f t="shared" si="201"/>
        <v>-</v>
      </c>
      <c r="AO558" s="75" t="str">
        <f t="shared" si="202"/>
        <v>-</v>
      </c>
      <c r="AP558" s="48">
        <f t="shared" si="205"/>
        <v>0</v>
      </c>
      <c r="AQ558" s="48">
        <f t="shared" si="203"/>
        <v>0</v>
      </c>
      <c r="AR558" s="49" t="e">
        <f t="shared" si="204"/>
        <v>#N/A</v>
      </c>
    </row>
    <row r="559" spans="1:44" ht="15">
      <c r="A559" s="38"/>
      <c r="B559" s="38"/>
      <c r="C559" s="38"/>
      <c r="D559" s="38"/>
      <c r="E559" s="38"/>
      <c r="F559" s="38"/>
      <c r="G559" s="47">
        <f t="shared" si="186"/>
        <v>6.5978850116714893E-2</v>
      </c>
      <c r="H559" s="44"/>
      <c r="I559" s="44"/>
      <c r="J559" s="45">
        <f t="shared" si="185"/>
        <v>0</v>
      </c>
      <c r="K559" s="38"/>
      <c r="L559" s="38"/>
      <c r="M559" s="38"/>
      <c r="N559" s="34" t="e">
        <f>VLOOKUP(F559,'GHG Emissions Factors'!$B$2:$C$4000,2,FALSE)</f>
        <v>#N/A</v>
      </c>
      <c r="O559" s="45" t="e">
        <f t="shared" si="187"/>
        <v>#N/A</v>
      </c>
      <c r="P559" s="34">
        <f>IF(L559="yes", 0, _xlfn.XLOOKUP(F559, 'GHG Emissions Factors'!$B$2:$B$4000, 'GHG Emissions Factors'!$D$2:$D$4000, 0))</f>
        <v>0</v>
      </c>
      <c r="Q559" s="46"/>
      <c r="R559" s="46"/>
      <c r="S559" s="46">
        <f>ProcurementAllocationData[[#This Row],[Net MWhs Procured]]-(ProcurementAllocationData[[#This Row],[Deep Green]]+ProcurementAllocationData[[#This Row],[LocalSol]]+ProcurementAllocationData[[#This Row],[GreenAccess]])</f>
        <v>0</v>
      </c>
      <c r="T559" s="46"/>
      <c r="U559" s="46"/>
      <c r="V559" s="46"/>
      <c r="W559" s="46"/>
      <c r="X559" s="46"/>
      <c r="Y559" s="112">
        <f t="shared" si="188"/>
        <v>0</v>
      </c>
      <c r="Z559" s="150">
        <f t="shared" si="189"/>
        <v>0</v>
      </c>
      <c r="AA559" s="150">
        <f t="shared" si="190"/>
        <v>0</v>
      </c>
      <c r="AB559" s="113">
        <f t="shared" si="191"/>
        <v>0</v>
      </c>
      <c r="AC559" s="36"/>
      <c r="AD559" s="272" t="str">
        <f t="shared" si="192"/>
        <v/>
      </c>
      <c r="AE559" s="273">
        <f t="shared" si="193"/>
        <v>0</v>
      </c>
      <c r="AF559" s="273">
        <f t="shared" si="194"/>
        <v>0</v>
      </c>
      <c r="AG559" s="273">
        <f t="shared" si="195"/>
        <v>0</v>
      </c>
      <c r="AH559" s="273">
        <f t="shared" si="196"/>
        <v>0</v>
      </c>
      <c r="AI559" s="273">
        <f t="shared" si="197"/>
        <v>0</v>
      </c>
      <c r="AJ559" s="273">
        <f t="shared" si="198"/>
        <v>0</v>
      </c>
      <c r="AK559" s="273">
        <f t="shared" si="199"/>
        <v>0</v>
      </c>
      <c r="AL559" s="274">
        <f t="shared" si="200"/>
        <v>0</v>
      </c>
      <c r="AN559" s="75" t="str">
        <f t="shared" si="201"/>
        <v>-</v>
      </c>
      <c r="AO559" s="75" t="str">
        <f t="shared" si="202"/>
        <v>-</v>
      </c>
      <c r="AP559" s="48">
        <f t="shared" si="205"/>
        <v>0</v>
      </c>
      <c r="AQ559" s="48">
        <f t="shared" si="203"/>
        <v>0</v>
      </c>
      <c r="AR559" s="49" t="e">
        <f t="shared" si="204"/>
        <v>#N/A</v>
      </c>
    </row>
    <row r="560" spans="1:44" ht="15">
      <c r="A560" s="38"/>
      <c r="B560" s="38"/>
      <c r="C560" s="38"/>
      <c r="D560" s="38"/>
      <c r="E560" s="38"/>
      <c r="F560" s="38"/>
      <c r="G560" s="47">
        <f t="shared" si="186"/>
        <v>6.5978850116714893E-2</v>
      </c>
      <c r="H560" s="44"/>
      <c r="I560" s="44"/>
      <c r="J560" s="45">
        <f t="shared" si="185"/>
        <v>0</v>
      </c>
      <c r="K560" s="38"/>
      <c r="L560" s="38"/>
      <c r="M560" s="38"/>
      <c r="N560" s="34" t="e">
        <f>VLOOKUP(F560,'GHG Emissions Factors'!$B$2:$C$4000,2,FALSE)</f>
        <v>#N/A</v>
      </c>
      <c r="O560" s="45" t="e">
        <f t="shared" si="187"/>
        <v>#N/A</v>
      </c>
      <c r="P560" s="34">
        <f>IF(L560="yes", 0, _xlfn.XLOOKUP(F560, 'GHG Emissions Factors'!$B$2:$B$4000, 'GHG Emissions Factors'!$D$2:$D$4000, 0))</f>
        <v>0</v>
      </c>
      <c r="Q560" s="46"/>
      <c r="R560" s="46"/>
      <c r="S560" s="46">
        <f>ProcurementAllocationData[[#This Row],[Net MWhs Procured]]-(ProcurementAllocationData[[#This Row],[Deep Green]]+ProcurementAllocationData[[#This Row],[LocalSol]]+ProcurementAllocationData[[#This Row],[GreenAccess]])</f>
        <v>0</v>
      </c>
      <c r="T560" s="46"/>
      <c r="U560" s="46"/>
      <c r="V560" s="46"/>
      <c r="W560" s="46"/>
      <c r="X560" s="46"/>
      <c r="Y560" s="112">
        <f t="shared" si="188"/>
        <v>0</v>
      </c>
      <c r="Z560" s="150">
        <f t="shared" si="189"/>
        <v>0</v>
      </c>
      <c r="AA560" s="150">
        <f t="shared" si="190"/>
        <v>0</v>
      </c>
      <c r="AB560" s="113">
        <f t="shared" si="191"/>
        <v>0</v>
      </c>
      <c r="AC560" s="36"/>
      <c r="AD560" s="272" t="str">
        <f t="shared" si="192"/>
        <v/>
      </c>
      <c r="AE560" s="273">
        <f t="shared" si="193"/>
        <v>0</v>
      </c>
      <c r="AF560" s="273">
        <f t="shared" si="194"/>
        <v>0</v>
      </c>
      <c r="AG560" s="273">
        <f t="shared" si="195"/>
        <v>0</v>
      </c>
      <c r="AH560" s="273">
        <f t="shared" si="196"/>
        <v>0</v>
      </c>
      <c r="AI560" s="273">
        <f t="shared" si="197"/>
        <v>0</v>
      </c>
      <c r="AJ560" s="273">
        <f t="shared" si="198"/>
        <v>0</v>
      </c>
      <c r="AK560" s="273">
        <f t="shared" si="199"/>
        <v>0</v>
      </c>
      <c r="AL560" s="274">
        <f t="shared" si="200"/>
        <v>0</v>
      </c>
      <c r="AN560" s="75" t="str">
        <f t="shared" si="201"/>
        <v>-</v>
      </c>
      <c r="AO560" s="75" t="str">
        <f t="shared" si="202"/>
        <v>-</v>
      </c>
      <c r="AP560" s="48">
        <f t="shared" si="205"/>
        <v>0</v>
      </c>
      <c r="AQ560" s="48">
        <f t="shared" si="203"/>
        <v>0</v>
      </c>
      <c r="AR560" s="49" t="e">
        <f t="shared" si="204"/>
        <v>#N/A</v>
      </c>
    </row>
    <row r="561" spans="1:44" ht="15">
      <c r="A561" s="38"/>
      <c r="B561" s="38"/>
      <c r="C561" s="38"/>
      <c r="D561" s="38"/>
      <c r="E561" s="38"/>
      <c r="F561" s="38"/>
      <c r="G561" s="47">
        <f t="shared" si="186"/>
        <v>6.5978850116714893E-2</v>
      </c>
      <c r="H561" s="44"/>
      <c r="I561" s="44"/>
      <c r="J561" s="45">
        <f t="shared" si="185"/>
        <v>0</v>
      </c>
      <c r="K561" s="38"/>
      <c r="L561" s="38"/>
      <c r="M561" s="38"/>
      <c r="N561" s="34" t="e">
        <f>VLOOKUP(F561,'GHG Emissions Factors'!$B$2:$C$4000,2,FALSE)</f>
        <v>#N/A</v>
      </c>
      <c r="O561" s="45" t="e">
        <f t="shared" si="187"/>
        <v>#N/A</v>
      </c>
      <c r="P561" s="34">
        <f>IF(L561="yes", 0, _xlfn.XLOOKUP(F561, 'GHG Emissions Factors'!$B$2:$B$4000, 'GHG Emissions Factors'!$D$2:$D$4000, 0))</f>
        <v>0</v>
      </c>
      <c r="Q561" s="46"/>
      <c r="R561" s="46"/>
      <c r="S561" s="46">
        <f>ProcurementAllocationData[[#This Row],[Net MWhs Procured]]-(ProcurementAllocationData[[#This Row],[Deep Green]]+ProcurementAllocationData[[#This Row],[LocalSol]]+ProcurementAllocationData[[#This Row],[GreenAccess]])</f>
        <v>0</v>
      </c>
      <c r="T561" s="46"/>
      <c r="U561" s="46"/>
      <c r="V561" s="46"/>
      <c r="W561" s="46"/>
      <c r="X561" s="46"/>
      <c r="Y561" s="112">
        <f t="shared" si="188"/>
        <v>0</v>
      </c>
      <c r="Z561" s="150">
        <f t="shared" si="189"/>
        <v>0</v>
      </c>
      <c r="AA561" s="150">
        <f t="shared" si="190"/>
        <v>0</v>
      </c>
      <c r="AB561" s="113">
        <f t="shared" si="191"/>
        <v>0</v>
      </c>
      <c r="AC561" s="36"/>
      <c r="AD561" s="272" t="str">
        <f t="shared" si="192"/>
        <v/>
      </c>
      <c r="AE561" s="273">
        <f t="shared" si="193"/>
        <v>0</v>
      </c>
      <c r="AF561" s="273">
        <f t="shared" si="194"/>
        <v>0</v>
      </c>
      <c r="AG561" s="273">
        <f t="shared" si="195"/>
        <v>0</v>
      </c>
      <c r="AH561" s="273">
        <f t="shared" si="196"/>
        <v>0</v>
      </c>
      <c r="AI561" s="273">
        <f t="shared" si="197"/>
        <v>0</v>
      </c>
      <c r="AJ561" s="273">
        <f t="shared" si="198"/>
        <v>0</v>
      </c>
      <c r="AK561" s="273">
        <f t="shared" si="199"/>
        <v>0</v>
      </c>
      <c r="AL561" s="274">
        <f t="shared" si="200"/>
        <v>0</v>
      </c>
      <c r="AN561" s="75" t="str">
        <f t="shared" si="201"/>
        <v>-</v>
      </c>
      <c r="AO561" s="75" t="str">
        <f t="shared" si="202"/>
        <v>-</v>
      </c>
      <c r="AP561" s="48">
        <f t="shared" si="205"/>
        <v>0</v>
      </c>
      <c r="AQ561" s="48">
        <f t="shared" si="203"/>
        <v>0</v>
      </c>
      <c r="AR561" s="49" t="e">
        <f t="shared" si="204"/>
        <v>#N/A</v>
      </c>
    </row>
    <row r="562" spans="1:44" ht="15">
      <c r="A562" s="38"/>
      <c r="B562" s="38"/>
      <c r="C562" s="38"/>
      <c r="D562" s="38"/>
      <c r="E562" s="38"/>
      <c r="F562" s="38"/>
      <c r="G562" s="47">
        <f t="shared" si="186"/>
        <v>6.5978850116714893E-2</v>
      </c>
      <c r="H562" s="44"/>
      <c r="I562" s="44"/>
      <c r="J562" s="45">
        <f t="shared" si="185"/>
        <v>0</v>
      </c>
      <c r="K562" s="38"/>
      <c r="L562" s="38"/>
      <c r="M562" s="38"/>
      <c r="N562" s="34" t="e">
        <f>VLOOKUP(F562,'GHG Emissions Factors'!$B$2:$C$4000,2,FALSE)</f>
        <v>#N/A</v>
      </c>
      <c r="O562" s="45" t="e">
        <f t="shared" si="187"/>
        <v>#N/A</v>
      </c>
      <c r="P562" s="34">
        <f>IF(L562="yes", 0, _xlfn.XLOOKUP(F562, 'GHG Emissions Factors'!$B$2:$B$4000, 'GHG Emissions Factors'!$D$2:$D$4000, 0))</f>
        <v>0</v>
      </c>
      <c r="Q562" s="46"/>
      <c r="R562" s="46"/>
      <c r="S562" s="46">
        <f>ProcurementAllocationData[[#This Row],[Net MWhs Procured]]-(ProcurementAllocationData[[#This Row],[Deep Green]]+ProcurementAllocationData[[#This Row],[LocalSol]]+ProcurementAllocationData[[#This Row],[GreenAccess]])</f>
        <v>0</v>
      </c>
      <c r="T562" s="46"/>
      <c r="U562" s="46"/>
      <c r="V562" s="46"/>
      <c r="W562" s="46"/>
      <c r="X562" s="46"/>
      <c r="Y562" s="112">
        <f t="shared" si="188"/>
        <v>0</v>
      </c>
      <c r="Z562" s="150">
        <f t="shared" si="189"/>
        <v>0</v>
      </c>
      <c r="AA562" s="150">
        <f t="shared" si="190"/>
        <v>0</v>
      </c>
      <c r="AB562" s="113">
        <f t="shared" si="191"/>
        <v>0</v>
      </c>
      <c r="AC562" s="36"/>
      <c r="AD562" s="272" t="str">
        <f t="shared" si="192"/>
        <v/>
      </c>
      <c r="AE562" s="273">
        <f t="shared" si="193"/>
        <v>0</v>
      </c>
      <c r="AF562" s="273">
        <f t="shared" si="194"/>
        <v>0</v>
      </c>
      <c r="AG562" s="273">
        <f t="shared" si="195"/>
        <v>0</v>
      </c>
      <c r="AH562" s="273">
        <f t="shared" si="196"/>
        <v>0</v>
      </c>
      <c r="AI562" s="273">
        <f t="shared" si="197"/>
        <v>0</v>
      </c>
      <c r="AJ562" s="273">
        <f t="shared" si="198"/>
        <v>0</v>
      </c>
      <c r="AK562" s="273">
        <f t="shared" si="199"/>
        <v>0</v>
      </c>
      <c r="AL562" s="274">
        <f t="shared" si="200"/>
        <v>0</v>
      </c>
      <c r="AN562" s="75" t="str">
        <f t="shared" si="201"/>
        <v>-</v>
      </c>
      <c r="AO562" s="75" t="str">
        <f t="shared" si="202"/>
        <v>-</v>
      </c>
      <c r="AP562" s="48">
        <f t="shared" si="205"/>
        <v>0</v>
      </c>
      <c r="AQ562" s="48">
        <f t="shared" si="203"/>
        <v>0</v>
      </c>
      <c r="AR562" s="49" t="e">
        <f t="shared" si="204"/>
        <v>#N/A</v>
      </c>
    </row>
    <row r="563" spans="1:44" ht="15">
      <c r="A563" s="38"/>
      <c r="B563" s="38"/>
      <c r="C563" s="38"/>
      <c r="D563" s="38"/>
      <c r="E563" s="38"/>
      <c r="F563" s="38"/>
      <c r="G563" s="47">
        <f t="shared" si="186"/>
        <v>6.5978850116714893E-2</v>
      </c>
      <c r="H563" s="44"/>
      <c r="I563" s="44"/>
      <c r="J563" s="45">
        <f t="shared" si="185"/>
        <v>0</v>
      </c>
      <c r="K563" s="38"/>
      <c r="L563" s="38"/>
      <c r="M563" s="38"/>
      <c r="N563" s="34" t="e">
        <f>VLOOKUP(F563,'GHG Emissions Factors'!$B$2:$C$4000,2,FALSE)</f>
        <v>#N/A</v>
      </c>
      <c r="O563" s="45" t="e">
        <f t="shared" si="187"/>
        <v>#N/A</v>
      </c>
      <c r="P563" s="34">
        <f>IF(L563="yes", 0, _xlfn.XLOOKUP(F563, 'GHG Emissions Factors'!$B$2:$B$4000, 'GHG Emissions Factors'!$D$2:$D$4000, 0))</f>
        <v>0</v>
      </c>
      <c r="Q563" s="46"/>
      <c r="R563" s="46"/>
      <c r="S563" s="46">
        <f>ProcurementAllocationData[[#This Row],[Net MWhs Procured]]-(ProcurementAllocationData[[#This Row],[Deep Green]]+ProcurementAllocationData[[#This Row],[LocalSol]]+ProcurementAllocationData[[#This Row],[GreenAccess]])</f>
        <v>0</v>
      </c>
      <c r="T563" s="46"/>
      <c r="U563" s="46"/>
      <c r="V563" s="46"/>
      <c r="W563" s="46"/>
      <c r="X563" s="46"/>
      <c r="Y563" s="112">
        <f t="shared" si="188"/>
        <v>0</v>
      </c>
      <c r="Z563" s="150">
        <f t="shared" si="189"/>
        <v>0</v>
      </c>
      <c r="AA563" s="150">
        <f t="shared" si="190"/>
        <v>0</v>
      </c>
      <c r="AB563" s="113">
        <f t="shared" si="191"/>
        <v>0</v>
      </c>
      <c r="AC563" s="36"/>
      <c r="AD563" s="272" t="str">
        <f t="shared" si="192"/>
        <v/>
      </c>
      <c r="AE563" s="273">
        <f t="shared" si="193"/>
        <v>0</v>
      </c>
      <c r="AF563" s="273">
        <f t="shared" si="194"/>
        <v>0</v>
      </c>
      <c r="AG563" s="273">
        <f t="shared" si="195"/>
        <v>0</v>
      </c>
      <c r="AH563" s="273">
        <f t="shared" si="196"/>
        <v>0</v>
      </c>
      <c r="AI563" s="273">
        <f t="shared" si="197"/>
        <v>0</v>
      </c>
      <c r="AJ563" s="273">
        <f t="shared" si="198"/>
        <v>0</v>
      </c>
      <c r="AK563" s="273">
        <f t="shared" si="199"/>
        <v>0</v>
      </c>
      <c r="AL563" s="274">
        <f t="shared" si="200"/>
        <v>0</v>
      </c>
      <c r="AN563" s="75" t="str">
        <f t="shared" si="201"/>
        <v>-</v>
      </c>
      <c r="AO563" s="75" t="str">
        <f t="shared" si="202"/>
        <v>-</v>
      </c>
      <c r="AP563" s="48">
        <f t="shared" si="205"/>
        <v>0</v>
      </c>
      <c r="AQ563" s="48">
        <f t="shared" si="203"/>
        <v>0</v>
      </c>
      <c r="AR563" s="49" t="e">
        <f t="shared" si="204"/>
        <v>#N/A</v>
      </c>
    </row>
    <row r="564" spans="1:44" ht="15">
      <c r="A564" s="38"/>
      <c r="B564" s="38"/>
      <c r="C564" s="38"/>
      <c r="D564" s="38"/>
      <c r="E564" s="38"/>
      <c r="F564" s="38"/>
      <c r="G564" s="47">
        <f t="shared" si="186"/>
        <v>6.5978850116714893E-2</v>
      </c>
      <c r="H564" s="44"/>
      <c r="I564" s="44"/>
      <c r="J564" s="45">
        <f t="shared" ref="J564:J597" si="206">H564-I564</f>
        <v>0</v>
      </c>
      <c r="K564" s="38"/>
      <c r="L564" s="38"/>
      <c r="M564" s="38"/>
      <c r="N564" s="34" t="e">
        <f>VLOOKUP(F564,'GHG Emissions Factors'!$B$2:$C$4000,2,FALSE)</f>
        <v>#N/A</v>
      </c>
      <c r="O564" s="45" t="e">
        <f t="shared" si="187"/>
        <v>#N/A</v>
      </c>
      <c r="P564" s="34">
        <f>IF(L564="yes", 0, _xlfn.XLOOKUP(F564, 'GHG Emissions Factors'!$B$2:$B$4000, 'GHG Emissions Factors'!$D$2:$D$4000, 0))</f>
        <v>0</v>
      </c>
      <c r="Q564" s="46"/>
      <c r="R564" s="46"/>
      <c r="S564" s="46">
        <f>ProcurementAllocationData[[#This Row],[Net MWhs Procured]]-(ProcurementAllocationData[[#This Row],[Deep Green]]+ProcurementAllocationData[[#This Row],[LocalSol]]+ProcurementAllocationData[[#This Row],[GreenAccess]])</f>
        <v>0</v>
      </c>
      <c r="T564" s="46"/>
      <c r="U564" s="46"/>
      <c r="V564" s="46"/>
      <c r="W564" s="46"/>
      <c r="X564" s="46"/>
      <c r="Y564" s="112">
        <f t="shared" si="188"/>
        <v>0</v>
      </c>
      <c r="Z564" s="150">
        <f t="shared" si="189"/>
        <v>0</v>
      </c>
      <c r="AA564" s="150">
        <f t="shared" si="190"/>
        <v>0</v>
      </c>
      <c r="AB564" s="113">
        <f t="shared" si="191"/>
        <v>0</v>
      </c>
      <c r="AC564" s="36"/>
      <c r="AD564" s="272" t="str">
        <f t="shared" si="192"/>
        <v/>
      </c>
      <c r="AE564" s="273">
        <f t="shared" si="193"/>
        <v>0</v>
      </c>
      <c r="AF564" s="273">
        <f t="shared" si="194"/>
        <v>0</v>
      </c>
      <c r="AG564" s="273">
        <f t="shared" si="195"/>
        <v>0</v>
      </c>
      <c r="AH564" s="273">
        <f t="shared" si="196"/>
        <v>0</v>
      </c>
      <c r="AI564" s="273">
        <f t="shared" si="197"/>
        <v>0</v>
      </c>
      <c r="AJ564" s="273">
        <f t="shared" si="198"/>
        <v>0</v>
      </c>
      <c r="AK564" s="273">
        <f t="shared" si="199"/>
        <v>0</v>
      </c>
      <c r="AL564" s="274">
        <f t="shared" si="200"/>
        <v>0</v>
      </c>
      <c r="AN564" s="75" t="str">
        <f t="shared" si="201"/>
        <v>-</v>
      </c>
      <c r="AO564" s="75" t="str">
        <f t="shared" si="202"/>
        <v>-</v>
      </c>
      <c r="AP564" s="48">
        <f t="shared" si="205"/>
        <v>0</v>
      </c>
      <c r="AQ564" s="48">
        <f t="shared" si="203"/>
        <v>0</v>
      </c>
      <c r="AR564" s="49" t="e">
        <f t="shared" si="204"/>
        <v>#N/A</v>
      </c>
    </row>
    <row r="565" spans="1:44" ht="15">
      <c r="A565" s="38"/>
      <c r="B565" s="38"/>
      <c r="C565" s="38"/>
      <c r="D565" s="38"/>
      <c r="E565" s="38"/>
      <c r="F565" s="38"/>
      <c r="G565" s="47">
        <f t="shared" si="186"/>
        <v>6.5978850116714893E-2</v>
      </c>
      <c r="H565" s="44"/>
      <c r="I565" s="44"/>
      <c r="J565" s="45">
        <f t="shared" si="206"/>
        <v>0</v>
      </c>
      <c r="K565" s="38"/>
      <c r="L565" s="38"/>
      <c r="M565" s="38"/>
      <c r="N565" s="34" t="e">
        <f>VLOOKUP(F565,'GHG Emissions Factors'!$B$2:$C$4000,2,FALSE)</f>
        <v>#N/A</v>
      </c>
      <c r="O565" s="45" t="e">
        <f t="shared" si="187"/>
        <v>#N/A</v>
      </c>
      <c r="P565" s="34">
        <f>IF(L565="yes", 0, _xlfn.XLOOKUP(F565, 'GHG Emissions Factors'!$B$2:$B$4000, 'GHG Emissions Factors'!$D$2:$D$4000, 0))</f>
        <v>0</v>
      </c>
      <c r="Q565" s="46"/>
      <c r="R565" s="46"/>
      <c r="S565" s="46">
        <f>ProcurementAllocationData[[#This Row],[Net MWhs Procured]]-(ProcurementAllocationData[[#This Row],[Deep Green]]+ProcurementAllocationData[[#This Row],[LocalSol]]+ProcurementAllocationData[[#This Row],[GreenAccess]])</f>
        <v>0</v>
      </c>
      <c r="T565" s="46"/>
      <c r="U565" s="46"/>
      <c r="V565" s="46"/>
      <c r="W565" s="46"/>
      <c r="X565" s="46"/>
      <c r="Y565" s="112">
        <f t="shared" si="188"/>
        <v>0</v>
      </c>
      <c r="Z565" s="150">
        <f t="shared" si="189"/>
        <v>0</v>
      </c>
      <c r="AA565" s="150">
        <f t="shared" si="190"/>
        <v>0</v>
      </c>
      <c r="AB565" s="113">
        <f t="shared" si="191"/>
        <v>0</v>
      </c>
      <c r="AC565" s="36"/>
      <c r="AD565" s="272" t="str">
        <f t="shared" si="192"/>
        <v/>
      </c>
      <c r="AE565" s="273">
        <f t="shared" si="193"/>
        <v>0</v>
      </c>
      <c r="AF565" s="273">
        <f t="shared" si="194"/>
        <v>0</v>
      </c>
      <c r="AG565" s="273">
        <f t="shared" si="195"/>
        <v>0</v>
      </c>
      <c r="AH565" s="273">
        <f t="shared" si="196"/>
        <v>0</v>
      </c>
      <c r="AI565" s="273">
        <f t="shared" si="197"/>
        <v>0</v>
      </c>
      <c r="AJ565" s="273">
        <f t="shared" si="198"/>
        <v>0</v>
      </c>
      <c r="AK565" s="273">
        <f t="shared" si="199"/>
        <v>0</v>
      </c>
      <c r="AL565" s="274">
        <f t="shared" si="200"/>
        <v>0</v>
      </c>
      <c r="AN565" s="75" t="str">
        <f t="shared" si="201"/>
        <v>-</v>
      </c>
      <c r="AO565" s="75" t="str">
        <f t="shared" si="202"/>
        <v>-</v>
      </c>
      <c r="AP565" s="48">
        <f t="shared" si="205"/>
        <v>0</v>
      </c>
      <c r="AQ565" s="48">
        <f t="shared" si="203"/>
        <v>0</v>
      </c>
      <c r="AR565" s="49" t="e">
        <f t="shared" si="204"/>
        <v>#N/A</v>
      </c>
    </row>
    <row r="566" spans="1:44" ht="15">
      <c r="A566" s="38"/>
      <c r="B566" s="38"/>
      <c r="C566" s="38"/>
      <c r="D566" s="38"/>
      <c r="E566" s="38"/>
      <c r="F566" s="38"/>
      <c r="G566" s="47">
        <f t="shared" si="186"/>
        <v>6.5978850116714893E-2</v>
      </c>
      <c r="H566" s="44"/>
      <c r="I566" s="44"/>
      <c r="J566" s="45">
        <f t="shared" si="206"/>
        <v>0</v>
      </c>
      <c r="K566" s="38"/>
      <c r="L566" s="38"/>
      <c r="M566" s="38"/>
      <c r="N566" s="34" t="e">
        <f>VLOOKUP(F566,'GHG Emissions Factors'!$B$2:$C$4000,2,FALSE)</f>
        <v>#N/A</v>
      </c>
      <c r="O566" s="45" t="e">
        <f t="shared" si="187"/>
        <v>#N/A</v>
      </c>
      <c r="P566" s="34">
        <f>IF(L566="yes", 0, _xlfn.XLOOKUP(F566, 'GHG Emissions Factors'!$B$2:$B$4000, 'GHG Emissions Factors'!$D$2:$D$4000, 0))</f>
        <v>0</v>
      </c>
      <c r="Q566" s="46"/>
      <c r="R566" s="46"/>
      <c r="S566" s="46">
        <f>ProcurementAllocationData[[#This Row],[Net MWhs Procured]]-(ProcurementAllocationData[[#This Row],[Deep Green]]+ProcurementAllocationData[[#This Row],[LocalSol]]+ProcurementAllocationData[[#This Row],[GreenAccess]])</f>
        <v>0</v>
      </c>
      <c r="T566" s="46"/>
      <c r="U566" s="46"/>
      <c r="V566" s="46"/>
      <c r="W566" s="46"/>
      <c r="X566" s="46"/>
      <c r="Y566" s="112">
        <f t="shared" si="188"/>
        <v>0</v>
      </c>
      <c r="Z566" s="150">
        <f t="shared" si="189"/>
        <v>0</v>
      </c>
      <c r="AA566" s="150">
        <f t="shared" si="190"/>
        <v>0</v>
      </c>
      <c r="AB566" s="113">
        <f t="shared" si="191"/>
        <v>0</v>
      </c>
      <c r="AC566" s="36"/>
      <c r="AD566" s="272" t="str">
        <f t="shared" si="192"/>
        <v/>
      </c>
      <c r="AE566" s="273">
        <f t="shared" si="193"/>
        <v>0</v>
      </c>
      <c r="AF566" s="273">
        <f t="shared" si="194"/>
        <v>0</v>
      </c>
      <c r="AG566" s="273">
        <f t="shared" si="195"/>
        <v>0</v>
      </c>
      <c r="AH566" s="273">
        <f t="shared" si="196"/>
        <v>0</v>
      </c>
      <c r="AI566" s="273">
        <f t="shared" si="197"/>
        <v>0</v>
      </c>
      <c r="AJ566" s="273">
        <f t="shared" si="198"/>
        <v>0</v>
      </c>
      <c r="AK566" s="273">
        <f t="shared" si="199"/>
        <v>0</v>
      </c>
      <c r="AL566" s="274">
        <f t="shared" si="200"/>
        <v>0</v>
      </c>
      <c r="AN566" s="75" t="str">
        <f t="shared" si="201"/>
        <v>-</v>
      </c>
      <c r="AO566" s="75" t="str">
        <f t="shared" si="202"/>
        <v>-</v>
      </c>
      <c r="AP566" s="48">
        <f t="shared" si="205"/>
        <v>0</v>
      </c>
      <c r="AQ566" s="48">
        <f t="shared" si="203"/>
        <v>0</v>
      </c>
      <c r="AR566" s="49" t="e">
        <f t="shared" si="204"/>
        <v>#N/A</v>
      </c>
    </row>
    <row r="567" spans="1:44" ht="15">
      <c r="A567" s="38"/>
      <c r="B567" s="38"/>
      <c r="C567" s="38"/>
      <c r="D567" s="38"/>
      <c r="E567" s="38"/>
      <c r="F567" s="38"/>
      <c r="G567" s="47">
        <f t="shared" si="186"/>
        <v>6.5978850116714893E-2</v>
      </c>
      <c r="H567" s="44"/>
      <c r="I567" s="44"/>
      <c r="J567" s="45">
        <f t="shared" si="206"/>
        <v>0</v>
      </c>
      <c r="K567" s="38"/>
      <c r="L567" s="38"/>
      <c r="M567" s="38"/>
      <c r="N567" s="34" t="e">
        <f>VLOOKUP(F567,'GHG Emissions Factors'!$B$2:$C$4000,2,FALSE)</f>
        <v>#N/A</v>
      </c>
      <c r="O567" s="45" t="e">
        <f t="shared" si="187"/>
        <v>#N/A</v>
      </c>
      <c r="P567" s="34">
        <f>IF(L567="yes", 0, _xlfn.XLOOKUP(F567, 'GHG Emissions Factors'!$B$2:$B$4000, 'GHG Emissions Factors'!$D$2:$D$4000, 0))</f>
        <v>0</v>
      </c>
      <c r="Q567" s="46"/>
      <c r="R567" s="46"/>
      <c r="S567" s="46">
        <f>ProcurementAllocationData[[#This Row],[Net MWhs Procured]]-(ProcurementAllocationData[[#This Row],[Deep Green]]+ProcurementAllocationData[[#This Row],[LocalSol]]+ProcurementAllocationData[[#This Row],[GreenAccess]])</f>
        <v>0</v>
      </c>
      <c r="T567" s="46"/>
      <c r="U567" s="46"/>
      <c r="V567" s="46"/>
      <c r="W567" s="46"/>
      <c r="X567" s="46"/>
      <c r="Y567" s="112">
        <f t="shared" si="188"/>
        <v>0</v>
      </c>
      <c r="Z567" s="150">
        <f t="shared" si="189"/>
        <v>0</v>
      </c>
      <c r="AA567" s="150">
        <f t="shared" si="190"/>
        <v>0</v>
      </c>
      <c r="AB567" s="113">
        <f t="shared" si="191"/>
        <v>0</v>
      </c>
      <c r="AC567" s="36"/>
      <c r="AD567" s="272" t="str">
        <f t="shared" si="192"/>
        <v/>
      </c>
      <c r="AE567" s="273">
        <f t="shared" si="193"/>
        <v>0</v>
      </c>
      <c r="AF567" s="273">
        <f t="shared" si="194"/>
        <v>0</v>
      </c>
      <c r="AG567" s="273">
        <f t="shared" si="195"/>
        <v>0</v>
      </c>
      <c r="AH567" s="273">
        <f t="shared" si="196"/>
        <v>0</v>
      </c>
      <c r="AI567" s="273">
        <f t="shared" si="197"/>
        <v>0</v>
      </c>
      <c r="AJ567" s="273">
        <f t="shared" si="198"/>
        <v>0</v>
      </c>
      <c r="AK567" s="273">
        <f t="shared" si="199"/>
        <v>0</v>
      </c>
      <c r="AL567" s="274">
        <f t="shared" si="200"/>
        <v>0</v>
      </c>
      <c r="AN567" s="75" t="str">
        <f t="shared" si="201"/>
        <v>-</v>
      </c>
      <c r="AO567" s="75" t="str">
        <f t="shared" si="202"/>
        <v>-</v>
      </c>
      <c r="AP567" s="48">
        <f t="shared" si="205"/>
        <v>0</v>
      </c>
      <c r="AQ567" s="48">
        <f t="shared" si="203"/>
        <v>0</v>
      </c>
      <c r="AR567" s="49" t="e">
        <f t="shared" si="204"/>
        <v>#N/A</v>
      </c>
    </row>
    <row r="568" spans="1:44" ht="15">
      <c r="A568" s="38"/>
      <c r="B568" s="38"/>
      <c r="C568" s="38"/>
      <c r="D568" s="38"/>
      <c r="E568" s="38"/>
      <c r="F568" s="38"/>
      <c r="G568" s="47">
        <f t="shared" si="186"/>
        <v>6.5978850116714893E-2</v>
      </c>
      <c r="H568" s="44"/>
      <c r="I568" s="44"/>
      <c r="J568" s="45">
        <f t="shared" si="206"/>
        <v>0</v>
      </c>
      <c r="K568" s="38"/>
      <c r="L568" s="38"/>
      <c r="M568" s="38"/>
      <c r="N568" s="34" t="e">
        <f>VLOOKUP(F568,'GHG Emissions Factors'!$B$2:$C$4000,2,FALSE)</f>
        <v>#N/A</v>
      </c>
      <c r="O568" s="45" t="e">
        <f t="shared" si="187"/>
        <v>#N/A</v>
      </c>
      <c r="P568" s="34">
        <f>IF(L568="yes", 0, _xlfn.XLOOKUP(F568, 'GHG Emissions Factors'!$B$2:$B$4000, 'GHG Emissions Factors'!$D$2:$D$4000, 0))</f>
        <v>0</v>
      </c>
      <c r="Q568" s="46"/>
      <c r="R568" s="46"/>
      <c r="S568" s="46">
        <f>ProcurementAllocationData[[#This Row],[Net MWhs Procured]]-(ProcurementAllocationData[[#This Row],[Deep Green]]+ProcurementAllocationData[[#This Row],[LocalSol]]+ProcurementAllocationData[[#This Row],[GreenAccess]])</f>
        <v>0</v>
      </c>
      <c r="T568" s="46"/>
      <c r="U568" s="46"/>
      <c r="V568" s="46"/>
      <c r="W568" s="46"/>
      <c r="X568" s="46"/>
      <c r="Y568" s="112">
        <f t="shared" si="188"/>
        <v>0</v>
      </c>
      <c r="Z568" s="150">
        <f t="shared" si="189"/>
        <v>0</v>
      </c>
      <c r="AA568" s="150">
        <f t="shared" si="190"/>
        <v>0</v>
      </c>
      <c r="AB568" s="113">
        <f t="shared" si="191"/>
        <v>0</v>
      </c>
      <c r="AC568" s="36"/>
      <c r="AD568" s="272" t="str">
        <f t="shared" si="192"/>
        <v/>
      </c>
      <c r="AE568" s="273">
        <f t="shared" si="193"/>
        <v>0</v>
      </c>
      <c r="AF568" s="273">
        <f t="shared" si="194"/>
        <v>0</v>
      </c>
      <c r="AG568" s="273">
        <f t="shared" si="195"/>
        <v>0</v>
      </c>
      <c r="AH568" s="273">
        <f t="shared" si="196"/>
        <v>0</v>
      </c>
      <c r="AI568" s="273">
        <f t="shared" si="197"/>
        <v>0</v>
      </c>
      <c r="AJ568" s="273">
        <f t="shared" si="198"/>
        <v>0</v>
      </c>
      <c r="AK568" s="273">
        <f t="shared" si="199"/>
        <v>0</v>
      </c>
      <c r="AL568" s="274">
        <f t="shared" si="200"/>
        <v>0</v>
      </c>
      <c r="AN568" s="75" t="str">
        <f t="shared" si="201"/>
        <v>-</v>
      </c>
      <c r="AO568" s="75" t="str">
        <f t="shared" si="202"/>
        <v>-</v>
      </c>
      <c r="AP568" s="48">
        <f t="shared" si="205"/>
        <v>0</v>
      </c>
      <c r="AQ568" s="48">
        <f t="shared" si="203"/>
        <v>0</v>
      </c>
      <c r="AR568" s="49" t="e">
        <f t="shared" si="204"/>
        <v>#N/A</v>
      </c>
    </row>
    <row r="569" spans="1:44" ht="15">
      <c r="A569" s="38"/>
      <c r="B569" s="38"/>
      <c r="C569" s="38"/>
      <c r="D569" s="38"/>
      <c r="E569" s="38"/>
      <c r="F569" s="38"/>
      <c r="G569" s="47">
        <f t="shared" si="186"/>
        <v>6.5978850116714893E-2</v>
      </c>
      <c r="H569" s="44"/>
      <c r="I569" s="44"/>
      <c r="J569" s="45">
        <f t="shared" si="206"/>
        <v>0</v>
      </c>
      <c r="K569" s="38"/>
      <c r="L569" s="38"/>
      <c r="M569" s="38"/>
      <c r="N569" s="34" t="e">
        <f>VLOOKUP(F569,'GHG Emissions Factors'!$B$2:$C$4000,2,FALSE)</f>
        <v>#N/A</v>
      </c>
      <c r="O569" s="45" t="e">
        <f t="shared" si="187"/>
        <v>#N/A</v>
      </c>
      <c r="P569" s="34">
        <f>IF(L569="yes", 0, _xlfn.XLOOKUP(F569, 'GHG Emissions Factors'!$B$2:$B$4000, 'GHG Emissions Factors'!$D$2:$D$4000, 0))</f>
        <v>0</v>
      </c>
      <c r="Q569" s="46"/>
      <c r="R569" s="46"/>
      <c r="S569" s="46">
        <f>ProcurementAllocationData[[#This Row],[Net MWhs Procured]]-(ProcurementAllocationData[[#This Row],[Deep Green]]+ProcurementAllocationData[[#This Row],[LocalSol]]+ProcurementAllocationData[[#This Row],[GreenAccess]])</f>
        <v>0</v>
      </c>
      <c r="T569" s="46"/>
      <c r="U569" s="46"/>
      <c r="V569" s="46"/>
      <c r="W569" s="46"/>
      <c r="X569" s="46"/>
      <c r="Y569" s="112">
        <f t="shared" si="188"/>
        <v>0</v>
      </c>
      <c r="Z569" s="150">
        <f t="shared" si="189"/>
        <v>0</v>
      </c>
      <c r="AA569" s="150">
        <f t="shared" si="190"/>
        <v>0</v>
      </c>
      <c r="AB569" s="113">
        <f t="shared" si="191"/>
        <v>0</v>
      </c>
      <c r="AC569" s="36"/>
      <c r="AD569" s="272" t="str">
        <f t="shared" si="192"/>
        <v/>
      </c>
      <c r="AE569" s="273">
        <f t="shared" si="193"/>
        <v>0</v>
      </c>
      <c r="AF569" s="273">
        <f t="shared" si="194"/>
        <v>0</v>
      </c>
      <c r="AG569" s="273">
        <f t="shared" si="195"/>
        <v>0</v>
      </c>
      <c r="AH569" s="273">
        <f t="shared" si="196"/>
        <v>0</v>
      </c>
      <c r="AI569" s="273">
        <f t="shared" si="197"/>
        <v>0</v>
      </c>
      <c r="AJ569" s="273">
        <f t="shared" si="198"/>
        <v>0</v>
      </c>
      <c r="AK569" s="273">
        <f t="shared" si="199"/>
        <v>0</v>
      </c>
      <c r="AL569" s="274">
        <f t="shared" si="200"/>
        <v>0</v>
      </c>
      <c r="AN569" s="75" t="str">
        <f t="shared" si="201"/>
        <v>-</v>
      </c>
      <c r="AO569" s="75" t="str">
        <f t="shared" si="202"/>
        <v>-</v>
      </c>
      <c r="AP569" s="48">
        <f t="shared" si="205"/>
        <v>0</v>
      </c>
      <c r="AQ569" s="48">
        <f t="shared" si="203"/>
        <v>0</v>
      </c>
      <c r="AR569" s="49" t="e">
        <f t="shared" si="204"/>
        <v>#N/A</v>
      </c>
    </row>
    <row r="570" spans="1:44" ht="15">
      <c r="A570" s="38"/>
      <c r="B570" s="38"/>
      <c r="C570" s="38"/>
      <c r="D570" s="38"/>
      <c r="E570" s="38"/>
      <c r="F570" s="38"/>
      <c r="G570" s="47">
        <f t="shared" si="186"/>
        <v>6.5978850116714893E-2</v>
      </c>
      <c r="H570" s="44"/>
      <c r="I570" s="44"/>
      <c r="J570" s="45">
        <f t="shared" si="206"/>
        <v>0</v>
      </c>
      <c r="K570" s="38"/>
      <c r="L570" s="38"/>
      <c r="M570" s="38"/>
      <c r="N570" s="34" t="e">
        <f>VLOOKUP(F570,'GHG Emissions Factors'!$B$2:$C$4000,2,FALSE)</f>
        <v>#N/A</v>
      </c>
      <c r="O570" s="45" t="e">
        <f t="shared" si="187"/>
        <v>#N/A</v>
      </c>
      <c r="P570" s="34">
        <f>IF(L570="yes", 0, _xlfn.XLOOKUP(F570, 'GHG Emissions Factors'!$B$2:$B$4000, 'GHG Emissions Factors'!$D$2:$D$4000, 0))</f>
        <v>0</v>
      </c>
      <c r="Q570" s="46"/>
      <c r="R570" s="46"/>
      <c r="S570" s="46">
        <f>ProcurementAllocationData[[#This Row],[Net MWhs Procured]]-(ProcurementAllocationData[[#This Row],[Deep Green]]+ProcurementAllocationData[[#This Row],[LocalSol]]+ProcurementAllocationData[[#This Row],[GreenAccess]])</f>
        <v>0</v>
      </c>
      <c r="T570" s="46"/>
      <c r="U570" s="46"/>
      <c r="V570" s="46"/>
      <c r="W570" s="46"/>
      <c r="X570" s="46"/>
      <c r="Y570" s="112">
        <f t="shared" si="188"/>
        <v>0</v>
      </c>
      <c r="Z570" s="150">
        <f t="shared" si="189"/>
        <v>0</v>
      </c>
      <c r="AA570" s="150">
        <f t="shared" si="190"/>
        <v>0</v>
      </c>
      <c r="AB570" s="113">
        <f t="shared" si="191"/>
        <v>0</v>
      </c>
      <c r="AC570" s="36"/>
      <c r="AD570" s="272" t="str">
        <f t="shared" si="192"/>
        <v/>
      </c>
      <c r="AE570" s="273">
        <f t="shared" si="193"/>
        <v>0</v>
      </c>
      <c r="AF570" s="273">
        <f t="shared" si="194"/>
        <v>0</v>
      </c>
      <c r="AG570" s="273">
        <f t="shared" si="195"/>
        <v>0</v>
      </c>
      <c r="AH570" s="273">
        <f t="shared" si="196"/>
        <v>0</v>
      </c>
      <c r="AI570" s="273">
        <f t="shared" si="197"/>
        <v>0</v>
      </c>
      <c r="AJ570" s="273">
        <f t="shared" si="198"/>
        <v>0</v>
      </c>
      <c r="AK570" s="273">
        <f t="shared" si="199"/>
        <v>0</v>
      </c>
      <c r="AL570" s="274">
        <f t="shared" si="200"/>
        <v>0</v>
      </c>
      <c r="AN570" s="75" t="str">
        <f t="shared" si="201"/>
        <v>-</v>
      </c>
      <c r="AO570" s="75" t="str">
        <f t="shared" si="202"/>
        <v>-</v>
      </c>
      <c r="AP570" s="48">
        <f t="shared" si="205"/>
        <v>0</v>
      </c>
      <c r="AQ570" s="48">
        <f t="shared" si="203"/>
        <v>0</v>
      </c>
      <c r="AR570" s="49" t="e">
        <f t="shared" si="204"/>
        <v>#N/A</v>
      </c>
    </row>
    <row r="571" spans="1:44" ht="15">
      <c r="A571" s="38"/>
      <c r="B571" s="38"/>
      <c r="C571" s="38"/>
      <c r="D571" s="38"/>
      <c r="E571" s="38"/>
      <c r="F571" s="38"/>
      <c r="G571" s="47">
        <f t="shared" si="186"/>
        <v>6.5978850116714893E-2</v>
      </c>
      <c r="H571" s="44"/>
      <c r="I571" s="44"/>
      <c r="J571" s="45">
        <f t="shared" si="206"/>
        <v>0</v>
      </c>
      <c r="K571" s="38"/>
      <c r="L571" s="38"/>
      <c r="M571" s="38"/>
      <c r="N571" s="34" t="e">
        <f>VLOOKUP(F571,'GHG Emissions Factors'!$B$2:$C$4000,2,FALSE)</f>
        <v>#N/A</v>
      </c>
      <c r="O571" s="45" t="e">
        <f t="shared" si="187"/>
        <v>#N/A</v>
      </c>
      <c r="P571" s="34">
        <f>IF(L571="yes", 0, _xlfn.XLOOKUP(F571, 'GHG Emissions Factors'!$B$2:$B$4000, 'GHG Emissions Factors'!$D$2:$D$4000, 0))</f>
        <v>0</v>
      </c>
      <c r="Q571" s="46"/>
      <c r="R571" s="46"/>
      <c r="S571" s="46">
        <f>ProcurementAllocationData[[#This Row],[Net MWhs Procured]]-(ProcurementAllocationData[[#This Row],[Deep Green]]+ProcurementAllocationData[[#This Row],[LocalSol]]+ProcurementAllocationData[[#This Row],[GreenAccess]])</f>
        <v>0</v>
      </c>
      <c r="T571" s="46"/>
      <c r="U571" s="46"/>
      <c r="V571" s="46"/>
      <c r="W571" s="46"/>
      <c r="X571" s="46"/>
      <c r="Y571" s="112">
        <f t="shared" si="188"/>
        <v>0</v>
      </c>
      <c r="Z571" s="150">
        <f t="shared" si="189"/>
        <v>0</v>
      </c>
      <c r="AA571" s="150">
        <f t="shared" si="190"/>
        <v>0</v>
      </c>
      <c r="AB571" s="113">
        <f t="shared" si="191"/>
        <v>0</v>
      </c>
      <c r="AC571" s="36"/>
      <c r="AD571" s="272" t="str">
        <f t="shared" si="192"/>
        <v/>
      </c>
      <c r="AE571" s="273">
        <f t="shared" si="193"/>
        <v>0</v>
      </c>
      <c r="AF571" s="273">
        <f t="shared" si="194"/>
        <v>0</v>
      </c>
      <c r="AG571" s="273">
        <f t="shared" si="195"/>
        <v>0</v>
      </c>
      <c r="AH571" s="273">
        <f t="shared" si="196"/>
        <v>0</v>
      </c>
      <c r="AI571" s="273">
        <f t="shared" si="197"/>
        <v>0</v>
      </c>
      <c r="AJ571" s="273">
        <f t="shared" si="198"/>
        <v>0</v>
      </c>
      <c r="AK571" s="273">
        <f t="shared" si="199"/>
        <v>0</v>
      </c>
      <c r="AL571" s="274">
        <f t="shared" si="200"/>
        <v>0</v>
      </c>
      <c r="AN571" s="75" t="str">
        <f t="shared" si="201"/>
        <v>-</v>
      </c>
      <c r="AO571" s="75" t="str">
        <f t="shared" si="202"/>
        <v>-</v>
      </c>
      <c r="AP571" s="48">
        <f t="shared" si="205"/>
        <v>0</v>
      </c>
      <c r="AQ571" s="48">
        <f t="shared" si="203"/>
        <v>0</v>
      </c>
      <c r="AR571" s="49" t="e">
        <f t="shared" si="204"/>
        <v>#N/A</v>
      </c>
    </row>
    <row r="572" spans="1:44" ht="15">
      <c r="A572" s="38"/>
      <c r="B572" s="38"/>
      <c r="C572" s="38"/>
      <c r="D572" s="38"/>
      <c r="E572" s="38"/>
      <c r="F572" s="38"/>
      <c r="G572" s="47">
        <f t="shared" si="186"/>
        <v>6.5978850116714893E-2</v>
      </c>
      <c r="H572" s="44"/>
      <c r="I572" s="44"/>
      <c r="J572" s="45">
        <f t="shared" si="206"/>
        <v>0</v>
      </c>
      <c r="K572" s="38"/>
      <c r="L572" s="38"/>
      <c r="M572" s="38"/>
      <c r="N572" s="34" t="e">
        <f>VLOOKUP(F572,'GHG Emissions Factors'!$B$2:$C$4000,2,FALSE)</f>
        <v>#N/A</v>
      </c>
      <c r="O572" s="45" t="e">
        <f t="shared" si="187"/>
        <v>#N/A</v>
      </c>
      <c r="P572" s="34">
        <f>IF(L572="yes", 0, _xlfn.XLOOKUP(F572, 'GHG Emissions Factors'!$B$2:$B$4000, 'GHG Emissions Factors'!$D$2:$D$4000, 0))</f>
        <v>0</v>
      </c>
      <c r="Q572" s="46"/>
      <c r="R572" s="46"/>
      <c r="S572" s="46">
        <f>ProcurementAllocationData[[#This Row],[Net MWhs Procured]]-(ProcurementAllocationData[[#This Row],[Deep Green]]+ProcurementAllocationData[[#This Row],[LocalSol]]+ProcurementAllocationData[[#This Row],[GreenAccess]])</f>
        <v>0</v>
      </c>
      <c r="T572" s="46"/>
      <c r="U572" s="46"/>
      <c r="V572" s="46"/>
      <c r="W572" s="46"/>
      <c r="X572" s="46"/>
      <c r="Y572" s="112">
        <f t="shared" si="188"/>
        <v>0</v>
      </c>
      <c r="Z572" s="150">
        <f t="shared" si="189"/>
        <v>0</v>
      </c>
      <c r="AA572" s="150">
        <f t="shared" si="190"/>
        <v>0</v>
      </c>
      <c r="AB572" s="113">
        <f t="shared" si="191"/>
        <v>0</v>
      </c>
      <c r="AC572" s="36"/>
      <c r="AD572" s="272" t="str">
        <f t="shared" si="192"/>
        <v/>
      </c>
      <c r="AE572" s="273">
        <f t="shared" si="193"/>
        <v>0</v>
      </c>
      <c r="AF572" s="273">
        <f t="shared" si="194"/>
        <v>0</v>
      </c>
      <c r="AG572" s="273">
        <f t="shared" si="195"/>
        <v>0</v>
      </c>
      <c r="AH572" s="273">
        <f t="shared" si="196"/>
        <v>0</v>
      </c>
      <c r="AI572" s="273">
        <f t="shared" si="197"/>
        <v>0</v>
      </c>
      <c r="AJ572" s="273">
        <f t="shared" si="198"/>
        <v>0</v>
      </c>
      <c r="AK572" s="273">
        <f t="shared" si="199"/>
        <v>0</v>
      </c>
      <c r="AL572" s="274">
        <f t="shared" si="200"/>
        <v>0</v>
      </c>
      <c r="AN572" s="75" t="str">
        <f t="shared" si="201"/>
        <v>-</v>
      </c>
      <c r="AO572" s="75" t="str">
        <f t="shared" si="202"/>
        <v>-</v>
      </c>
      <c r="AP572" s="48">
        <f t="shared" si="205"/>
        <v>0</v>
      </c>
      <c r="AQ572" s="48">
        <f t="shared" si="203"/>
        <v>0</v>
      </c>
      <c r="AR572" s="49" t="e">
        <f t="shared" si="204"/>
        <v>#N/A</v>
      </c>
    </row>
    <row r="573" spans="1:44" ht="15">
      <c r="A573" s="38"/>
      <c r="B573" s="38"/>
      <c r="C573" s="38"/>
      <c r="D573" s="38"/>
      <c r="E573" s="38"/>
      <c r="F573" s="38"/>
      <c r="G573" s="47">
        <f t="shared" si="186"/>
        <v>6.5978850116714893E-2</v>
      </c>
      <c r="H573" s="44"/>
      <c r="I573" s="44"/>
      <c r="J573" s="45">
        <f t="shared" si="206"/>
        <v>0</v>
      </c>
      <c r="K573" s="38"/>
      <c r="L573" s="38"/>
      <c r="M573" s="38"/>
      <c r="N573" s="34" t="e">
        <f>VLOOKUP(F573,'GHG Emissions Factors'!$B$2:$C$4000,2,FALSE)</f>
        <v>#N/A</v>
      </c>
      <c r="O573" s="45" t="e">
        <f t="shared" si="187"/>
        <v>#N/A</v>
      </c>
      <c r="P573" s="34">
        <f>IF(L573="yes", 0, _xlfn.XLOOKUP(F573, 'GHG Emissions Factors'!$B$2:$B$4000, 'GHG Emissions Factors'!$D$2:$D$4000, 0))</f>
        <v>0</v>
      </c>
      <c r="Q573" s="46"/>
      <c r="R573" s="46"/>
      <c r="S573" s="46">
        <f>ProcurementAllocationData[[#This Row],[Net MWhs Procured]]-(ProcurementAllocationData[[#This Row],[Deep Green]]+ProcurementAllocationData[[#This Row],[LocalSol]]+ProcurementAllocationData[[#This Row],[GreenAccess]])</f>
        <v>0</v>
      </c>
      <c r="T573" s="46"/>
      <c r="U573" s="46"/>
      <c r="V573" s="46"/>
      <c r="W573" s="46"/>
      <c r="X573" s="46"/>
      <c r="Y573" s="112">
        <f t="shared" si="188"/>
        <v>0</v>
      </c>
      <c r="Z573" s="150">
        <f t="shared" si="189"/>
        <v>0</v>
      </c>
      <c r="AA573" s="150">
        <f t="shared" si="190"/>
        <v>0</v>
      </c>
      <c r="AB573" s="113">
        <f t="shared" si="191"/>
        <v>0</v>
      </c>
      <c r="AC573" s="36"/>
      <c r="AD573" s="272" t="str">
        <f t="shared" si="192"/>
        <v/>
      </c>
      <c r="AE573" s="273">
        <f t="shared" si="193"/>
        <v>0</v>
      </c>
      <c r="AF573" s="273">
        <f t="shared" si="194"/>
        <v>0</v>
      </c>
      <c r="AG573" s="273">
        <f t="shared" si="195"/>
        <v>0</v>
      </c>
      <c r="AH573" s="273">
        <f t="shared" si="196"/>
        <v>0</v>
      </c>
      <c r="AI573" s="273">
        <f t="shared" si="197"/>
        <v>0</v>
      </c>
      <c r="AJ573" s="273">
        <f t="shared" si="198"/>
        <v>0</v>
      </c>
      <c r="AK573" s="273">
        <f t="shared" si="199"/>
        <v>0</v>
      </c>
      <c r="AL573" s="274">
        <f t="shared" si="200"/>
        <v>0</v>
      </c>
      <c r="AN573" s="75" t="str">
        <f t="shared" si="201"/>
        <v>-</v>
      </c>
      <c r="AO573" s="75" t="str">
        <f t="shared" si="202"/>
        <v>-</v>
      </c>
      <c r="AP573" s="48">
        <f t="shared" si="205"/>
        <v>0</v>
      </c>
      <c r="AQ573" s="48">
        <f t="shared" si="203"/>
        <v>0</v>
      </c>
      <c r="AR573" s="49" t="e">
        <f t="shared" si="204"/>
        <v>#N/A</v>
      </c>
    </row>
    <row r="574" spans="1:44" ht="15">
      <c r="A574" s="38"/>
      <c r="B574" s="38"/>
      <c r="C574" s="38"/>
      <c r="D574" s="38"/>
      <c r="E574" s="38"/>
      <c r="F574" s="38"/>
      <c r="G574" s="47">
        <f t="shared" si="186"/>
        <v>6.5978850116714893E-2</v>
      </c>
      <c r="H574" s="44"/>
      <c r="I574" s="44"/>
      <c r="J574" s="45">
        <f t="shared" si="206"/>
        <v>0</v>
      </c>
      <c r="K574" s="38"/>
      <c r="L574" s="38"/>
      <c r="M574" s="38"/>
      <c r="N574" s="34" t="e">
        <f>VLOOKUP(F574,'GHG Emissions Factors'!$B$2:$C$4000,2,FALSE)</f>
        <v>#N/A</v>
      </c>
      <c r="O574" s="45" t="e">
        <f t="shared" si="187"/>
        <v>#N/A</v>
      </c>
      <c r="P574" s="34">
        <f>IF(L574="yes", 0, _xlfn.XLOOKUP(F574, 'GHG Emissions Factors'!$B$2:$B$4000, 'GHG Emissions Factors'!$D$2:$D$4000, 0))</f>
        <v>0</v>
      </c>
      <c r="Q574" s="46"/>
      <c r="R574" s="46"/>
      <c r="S574" s="46">
        <f>ProcurementAllocationData[[#This Row],[Net MWhs Procured]]-(ProcurementAllocationData[[#This Row],[Deep Green]]+ProcurementAllocationData[[#This Row],[LocalSol]]+ProcurementAllocationData[[#This Row],[GreenAccess]])</f>
        <v>0</v>
      </c>
      <c r="T574" s="46"/>
      <c r="U574" s="46"/>
      <c r="V574" s="46"/>
      <c r="W574" s="46"/>
      <c r="X574" s="46"/>
      <c r="Y574" s="112">
        <f t="shared" si="188"/>
        <v>0</v>
      </c>
      <c r="Z574" s="150">
        <f t="shared" si="189"/>
        <v>0</v>
      </c>
      <c r="AA574" s="150">
        <f t="shared" si="190"/>
        <v>0</v>
      </c>
      <c r="AB574" s="113">
        <f t="shared" si="191"/>
        <v>0</v>
      </c>
      <c r="AC574" s="36"/>
      <c r="AD574" s="272" t="str">
        <f t="shared" si="192"/>
        <v/>
      </c>
      <c r="AE574" s="273">
        <f t="shared" si="193"/>
        <v>0</v>
      </c>
      <c r="AF574" s="273">
        <f t="shared" si="194"/>
        <v>0</v>
      </c>
      <c r="AG574" s="273">
        <f t="shared" si="195"/>
        <v>0</v>
      </c>
      <c r="AH574" s="273">
        <f t="shared" si="196"/>
        <v>0</v>
      </c>
      <c r="AI574" s="273">
        <f t="shared" si="197"/>
        <v>0</v>
      </c>
      <c r="AJ574" s="273">
        <f t="shared" si="198"/>
        <v>0</v>
      </c>
      <c r="AK574" s="273">
        <f t="shared" si="199"/>
        <v>0</v>
      </c>
      <c r="AL574" s="274">
        <f t="shared" si="200"/>
        <v>0</v>
      </c>
      <c r="AN574" s="75" t="str">
        <f t="shared" si="201"/>
        <v>-</v>
      </c>
      <c r="AO574" s="75" t="str">
        <f t="shared" si="202"/>
        <v>-</v>
      </c>
      <c r="AP574" s="48">
        <f t="shared" si="205"/>
        <v>0</v>
      </c>
      <c r="AQ574" s="48">
        <f t="shared" si="203"/>
        <v>0</v>
      </c>
      <c r="AR574" s="49" t="e">
        <f t="shared" si="204"/>
        <v>#N/A</v>
      </c>
    </row>
    <row r="575" spans="1:44" ht="15">
      <c r="A575" s="38"/>
      <c r="B575" s="38"/>
      <c r="C575" s="38"/>
      <c r="D575" s="38"/>
      <c r="E575" s="38"/>
      <c r="F575" s="38"/>
      <c r="G575" s="47">
        <f t="shared" si="186"/>
        <v>6.5978850116714893E-2</v>
      </c>
      <c r="H575" s="44"/>
      <c r="I575" s="44"/>
      <c r="J575" s="45">
        <f t="shared" si="206"/>
        <v>0</v>
      </c>
      <c r="K575" s="38"/>
      <c r="L575" s="38"/>
      <c r="M575" s="38"/>
      <c r="N575" s="34" t="e">
        <f>VLOOKUP(F575,'GHG Emissions Factors'!$B$2:$C$4000,2,FALSE)</f>
        <v>#N/A</v>
      </c>
      <c r="O575" s="45" t="e">
        <f t="shared" si="187"/>
        <v>#N/A</v>
      </c>
      <c r="P575" s="34">
        <f>IF(L575="yes", 0, _xlfn.XLOOKUP(F575, 'GHG Emissions Factors'!$B$2:$B$4000, 'GHG Emissions Factors'!$D$2:$D$4000, 0))</f>
        <v>0</v>
      </c>
      <c r="Q575" s="46"/>
      <c r="R575" s="46"/>
      <c r="S575" s="46">
        <f>ProcurementAllocationData[[#This Row],[Net MWhs Procured]]-(ProcurementAllocationData[[#This Row],[Deep Green]]+ProcurementAllocationData[[#This Row],[LocalSol]]+ProcurementAllocationData[[#This Row],[GreenAccess]])</f>
        <v>0</v>
      </c>
      <c r="T575" s="46"/>
      <c r="U575" s="46"/>
      <c r="V575" s="46"/>
      <c r="W575" s="46"/>
      <c r="X575" s="46"/>
      <c r="Y575" s="112">
        <f t="shared" si="188"/>
        <v>0</v>
      </c>
      <c r="Z575" s="150">
        <f t="shared" si="189"/>
        <v>0</v>
      </c>
      <c r="AA575" s="150">
        <f t="shared" si="190"/>
        <v>0</v>
      </c>
      <c r="AB575" s="113">
        <f t="shared" si="191"/>
        <v>0</v>
      </c>
      <c r="AC575" s="36"/>
      <c r="AD575" s="272" t="str">
        <f t="shared" si="192"/>
        <v/>
      </c>
      <c r="AE575" s="273">
        <f t="shared" si="193"/>
        <v>0</v>
      </c>
      <c r="AF575" s="273">
        <f t="shared" si="194"/>
        <v>0</v>
      </c>
      <c r="AG575" s="273">
        <f t="shared" si="195"/>
        <v>0</v>
      </c>
      <c r="AH575" s="273">
        <f t="shared" si="196"/>
        <v>0</v>
      </c>
      <c r="AI575" s="273">
        <f t="shared" si="197"/>
        <v>0</v>
      </c>
      <c r="AJ575" s="273">
        <f t="shared" si="198"/>
        <v>0</v>
      </c>
      <c r="AK575" s="273">
        <f t="shared" si="199"/>
        <v>0</v>
      </c>
      <c r="AL575" s="274">
        <f t="shared" si="200"/>
        <v>0</v>
      </c>
      <c r="AN575" s="75" t="str">
        <f t="shared" si="201"/>
        <v>-</v>
      </c>
      <c r="AO575" s="75" t="str">
        <f t="shared" si="202"/>
        <v>-</v>
      </c>
      <c r="AP575" s="48">
        <f t="shared" si="205"/>
        <v>0</v>
      </c>
      <c r="AQ575" s="48">
        <f t="shared" si="203"/>
        <v>0</v>
      </c>
      <c r="AR575" s="49" t="e">
        <f t="shared" si="204"/>
        <v>#N/A</v>
      </c>
    </row>
    <row r="576" spans="1:44" ht="15">
      <c r="A576" s="38"/>
      <c r="B576" s="38"/>
      <c r="C576" s="38"/>
      <c r="D576" s="38"/>
      <c r="E576" s="38"/>
      <c r="F576" s="38"/>
      <c r="G576" s="47">
        <f t="shared" si="186"/>
        <v>6.5978850116714893E-2</v>
      </c>
      <c r="H576" s="44"/>
      <c r="I576" s="44"/>
      <c r="J576" s="45">
        <f t="shared" si="206"/>
        <v>0</v>
      </c>
      <c r="K576" s="38"/>
      <c r="L576" s="38"/>
      <c r="M576" s="38"/>
      <c r="N576" s="34" t="e">
        <f>VLOOKUP(F576,'GHG Emissions Factors'!$B$2:$C$4000,2,FALSE)</f>
        <v>#N/A</v>
      </c>
      <c r="O576" s="45" t="e">
        <f t="shared" si="187"/>
        <v>#N/A</v>
      </c>
      <c r="P576" s="34">
        <f>IF(L576="yes", 0, _xlfn.XLOOKUP(F576, 'GHG Emissions Factors'!$B$2:$B$4000, 'GHG Emissions Factors'!$D$2:$D$4000, 0))</f>
        <v>0</v>
      </c>
      <c r="Q576" s="46"/>
      <c r="R576" s="46"/>
      <c r="S576" s="46">
        <f>ProcurementAllocationData[[#This Row],[Net MWhs Procured]]-(ProcurementAllocationData[[#This Row],[Deep Green]]+ProcurementAllocationData[[#This Row],[LocalSol]]+ProcurementAllocationData[[#This Row],[GreenAccess]])</f>
        <v>0</v>
      </c>
      <c r="T576" s="46"/>
      <c r="U576" s="46"/>
      <c r="V576" s="46"/>
      <c r="W576" s="46"/>
      <c r="X576" s="46"/>
      <c r="Y576" s="112">
        <f t="shared" si="188"/>
        <v>0</v>
      </c>
      <c r="Z576" s="150">
        <f t="shared" si="189"/>
        <v>0</v>
      </c>
      <c r="AA576" s="150">
        <f t="shared" si="190"/>
        <v>0</v>
      </c>
      <c r="AB576" s="113">
        <f t="shared" si="191"/>
        <v>0</v>
      </c>
      <c r="AC576" s="36"/>
      <c r="AD576" s="272" t="str">
        <f t="shared" si="192"/>
        <v/>
      </c>
      <c r="AE576" s="273">
        <f t="shared" si="193"/>
        <v>0</v>
      </c>
      <c r="AF576" s="273">
        <f t="shared" si="194"/>
        <v>0</v>
      </c>
      <c r="AG576" s="273">
        <f t="shared" si="195"/>
        <v>0</v>
      </c>
      <c r="AH576" s="273">
        <f t="shared" si="196"/>
        <v>0</v>
      </c>
      <c r="AI576" s="273">
        <f t="shared" si="197"/>
        <v>0</v>
      </c>
      <c r="AJ576" s="273">
        <f t="shared" si="198"/>
        <v>0</v>
      </c>
      <c r="AK576" s="273">
        <f t="shared" si="199"/>
        <v>0</v>
      </c>
      <c r="AL576" s="274">
        <f t="shared" si="200"/>
        <v>0</v>
      </c>
      <c r="AN576" s="75" t="str">
        <f t="shared" si="201"/>
        <v>-</v>
      </c>
      <c r="AO576" s="75" t="str">
        <f t="shared" si="202"/>
        <v>-</v>
      </c>
      <c r="AP576" s="48">
        <f t="shared" si="205"/>
        <v>0</v>
      </c>
      <c r="AQ576" s="48">
        <f t="shared" si="203"/>
        <v>0</v>
      </c>
      <c r="AR576" s="49" t="e">
        <f t="shared" si="204"/>
        <v>#N/A</v>
      </c>
    </row>
    <row r="577" spans="1:44" ht="15">
      <c r="A577" s="38"/>
      <c r="B577" s="38"/>
      <c r="C577" s="38"/>
      <c r="D577" s="38"/>
      <c r="E577" s="38"/>
      <c r="F577" s="38"/>
      <c r="G577" s="47">
        <f t="shared" si="186"/>
        <v>6.5978850116714893E-2</v>
      </c>
      <c r="H577" s="44"/>
      <c r="I577" s="44"/>
      <c r="J577" s="45">
        <f t="shared" si="206"/>
        <v>0</v>
      </c>
      <c r="K577" s="38"/>
      <c r="L577" s="38"/>
      <c r="M577" s="38"/>
      <c r="N577" s="34" t="e">
        <f>VLOOKUP(F577,'GHG Emissions Factors'!$B$2:$C$4000,2,FALSE)</f>
        <v>#N/A</v>
      </c>
      <c r="O577" s="45" t="e">
        <f t="shared" si="187"/>
        <v>#N/A</v>
      </c>
      <c r="P577" s="34">
        <f>IF(L577="yes", 0, _xlfn.XLOOKUP(F577, 'GHG Emissions Factors'!$B$2:$B$4000, 'GHG Emissions Factors'!$D$2:$D$4000, 0))</f>
        <v>0</v>
      </c>
      <c r="Q577" s="46"/>
      <c r="R577" s="46"/>
      <c r="S577" s="46">
        <f>ProcurementAllocationData[[#This Row],[Net MWhs Procured]]-(ProcurementAllocationData[[#This Row],[Deep Green]]+ProcurementAllocationData[[#This Row],[LocalSol]]+ProcurementAllocationData[[#This Row],[GreenAccess]])</f>
        <v>0</v>
      </c>
      <c r="T577" s="46"/>
      <c r="U577" s="46"/>
      <c r="V577" s="46"/>
      <c r="W577" s="46"/>
      <c r="X577" s="46"/>
      <c r="Y577" s="112">
        <f t="shared" si="188"/>
        <v>0</v>
      </c>
      <c r="Z577" s="150">
        <f t="shared" si="189"/>
        <v>0</v>
      </c>
      <c r="AA577" s="150">
        <f t="shared" si="190"/>
        <v>0</v>
      </c>
      <c r="AB577" s="113">
        <f t="shared" si="191"/>
        <v>0</v>
      </c>
      <c r="AC577" s="36"/>
      <c r="AD577" s="272" t="str">
        <f t="shared" si="192"/>
        <v/>
      </c>
      <c r="AE577" s="273">
        <f t="shared" si="193"/>
        <v>0</v>
      </c>
      <c r="AF577" s="273">
        <f t="shared" si="194"/>
        <v>0</v>
      </c>
      <c r="AG577" s="273">
        <f t="shared" si="195"/>
        <v>0</v>
      </c>
      <c r="AH577" s="273">
        <f t="shared" si="196"/>
        <v>0</v>
      </c>
      <c r="AI577" s="273">
        <f t="shared" si="197"/>
        <v>0</v>
      </c>
      <c r="AJ577" s="273">
        <f t="shared" si="198"/>
        <v>0</v>
      </c>
      <c r="AK577" s="273">
        <f t="shared" si="199"/>
        <v>0</v>
      </c>
      <c r="AL577" s="274">
        <f t="shared" si="200"/>
        <v>0</v>
      </c>
      <c r="AN577" s="75" t="str">
        <f t="shared" si="201"/>
        <v>-</v>
      </c>
      <c r="AO577" s="75" t="str">
        <f t="shared" si="202"/>
        <v>-</v>
      </c>
      <c r="AP577" s="48">
        <f t="shared" si="205"/>
        <v>0</v>
      </c>
      <c r="AQ577" s="48">
        <f t="shared" si="203"/>
        <v>0</v>
      </c>
      <c r="AR577" s="49" t="e">
        <f t="shared" si="204"/>
        <v>#N/A</v>
      </c>
    </row>
    <row r="578" spans="1:44" ht="15">
      <c r="A578" s="38"/>
      <c r="B578" s="38"/>
      <c r="C578" s="38"/>
      <c r="D578" s="38"/>
      <c r="E578" s="38"/>
      <c r="F578" s="38"/>
      <c r="G578" s="47">
        <f t="shared" si="186"/>
        <v>6.5978850116714893E-2</v>
      </c>
      <c r="H578" s="44"/>
      <c r="I578" s="44"/>
      <c r="J578" s="45">
        <f t="shared" si="206"/>
        <v>0</v>
      </c>
      <c r="K578" s="38"/>
      <c r="L578" s="38"/>
      <c r="M578" s="38"/>
      <c r="N578" s="34" t="e">
        <f>VLOOKUP(F578,'GHG Emissions Factors'!$B$2:$C$4000,2,FALSE)</f>
        <v>#N/A</v>
      </c>
      <c r="O578" s="45" t="e">
        <f t="shared" si="187"/>
        <v>#N/A</v>
      </c>
      <c r="P578" s="34">
        <f>IF(L578="yes", 0, _xlfn.XLOOKUP(F578, 'GHG Emissions Factors'!$B$2:$B$4000, 'GHG Emissions Factors'!$D$2:$D$4000, 0))</f>
        <v>0</v>
      </c>
      <c r="Q578" s="46"/>
      <c r="R578" s="46"/>
      <c r="S578" s="46">
        <f>ProcurementAllocationData[[#This Row],[Net MWhs Procured]]-(ProcurementAllocationData[[#This Row],[Deep Green]]+ProcurementAllocationData[[#This Row],[LocalSol]]+ProcurementAllocationData[[#This Row],[GreenAccess]])</f>
        <v>0</v>
      </c>
      <c r="T578" s="46"/>
      <c r="U578" s="46"/>
      <c r="V578" s="46"/>
      <c r="W578" s="46"/>
      <c r="X578" s="46"/>
      <c r="Y578" s="112">
        <f t="shared" si="188"/>
        <v>0</v>
      </c>
      <c r="Z578" s="150">
        <f t="shared" si="189"/>
        <v>0</v>
      </c>
      <c r="AA578" s="150">
        <f t="shared" si="190"/>
        <v>0</v>
      </c>
      <c r="AB578" s="113">
        <f t="shared" si="191"/>
        <v>0</v>
      </c>
      <c r="AC578" s="36"/>
      <c r="AD578" s="272" t="str">
        <f t="shared" si="192"/>
        <v/>
      </c>
      <c r="AE578" s="273">
        <f t="shared" si="193"/>
        <v>0</v>
      </c>
      <c r="AF578" s="273">
        <f t="shared" si="194"/>
        <v>0</v>
      </c>
      <c r="AG578" s="273">
        <f t="shared" si="195"/>
        <v>0</v>
      </c>
      <c r="AH578" s="273">
        <f t="shared" si="196"/>
        <v>0</v>
      </c>
      <c r="AI578" s="273">
        <f t="shared" si="197"/>
        <v>0</v>
      </c>
      <c r="AJ578" s="273">
        <f t="shared" si="198"/>
        <v>0</v>
      </c>
      <c r="AK578" s="273">
        <f t="shared" si="199"/>
        <v>0</v>
      </c>
      <c r="AL578" s="274">
        <f t="shared" si="200"/>
        <v>0</v>
      </c>
      <c r="AN578" s="75" t="str">
        <f t="shared" si="201"/>
        <v>-</v>
      </c>
      <c r="AO578" s="75" t="str">
        <f t="shared" si="202"/>
        <v>-</v>
      </c>
      <c r="AP578" s="48">
        <f t="shared" si="205"/>
        <v>0</v>
      </c>
      <c r="AQ578" s="48">
        <f t="shared" si="203"/>
        <v>0</v>
      </c>
      <c r="AR578" s="49" t="e">
        <f t="shared" si="204"/>
        <v>#N/A</v>
      </c>
    </row>
    <row r="579" spans="1:44" ht="15">
      <c r="A579" s="38"/>
      <c r="B579" s="38"/>
      <c r="C579" s="38"/>
      <c r="D579" s="38"/>
      <c r="E579" s="38"/>
      <c r="F579" s="38"/>
      <c r="G579" s="47">
        <f t="shared" si="186"/>
        <v>6.5978850116714893E-2</v>
      </c>
      <c r="H579" s="44"/>
      <c r="I579" s="44"/>
      <c r="J579" s="45">
        <f t="shared" si="206"/>
        <v>0</v>
      </c>
      <c r="K579" s="38"/>
      <c r="L579" s="38"/>
      <c r="M579" s="38"/>
      <c r="N579" s="34" t="e">
        <f>VLOOKUP(F579,'GHG Emissions Factors'!$B$2:$C$4000,2,FALSE)</f>
        <v>#N/A</v>
      </c>
      <c r="O579" s="45" t="e">
        <f t="shared" si="187"/>
        <v>#N/A</v>
      </c>
      <c r="P579" s="34">
        <f>IF(L579="yes", 0, _xlfn.XLOOKUP(F579, 'GHG Emissions Factors'!$B$2:$B$4000, 'GHG Emissions Factors'!$D$2:$D$4000, 0))</f>
        <v>0</v>
      </c>
      <c r="Q579" s="46"/>
      <c r="R579" s="46"/>
      <c r="S579" s="46">
        <f>ProcurementAllocationData[[#This Row],[Net MWhs Procured]]-(ProcurementAllocationData[[#This Row],[Deep Green]]+ProcurementAllocationData[[#This Row],[LocalSol]]+ProcurementAllocationData[[#This Row],[GreenAccess]])</f>
        <v>0</v>
      </c>
      <c r="T579" s="46"/>
      <c r="U579" s="46"/>
      <c r="V579" s="46"/>
      <c r="W579" s="46"/>
      <c r="X579" s="46"/>
      <c r="Y579" s="112">
        <f t="shared" si="188"/>
        <v>0</v>
      </c>
      <c r="Z579" s="150">
        <f t="shared" si="189"/>
        <v>0</v>
      </c>
      <c r="AA579" s="150">
        <f t="shared" si="190"/>
        <v>0</v>
      </c>
      <c r="AB579" s="113">
        <f t="shared" si="191"/>
        <v>0</v>
      </c>
      <c r="AC579" s="36"/>
      <c r="AD579" s="272" t="str">
        <f t="shared" si="192"/>
        <v/>
      </c>
      <c r="AE579" s="273">
        <f t="shared" si="193"/>
        <v>0</v>
      </c>
      <c r="AF579" s="273">
        <f t="shared" si="194"/>
        <v>0</v>
      </c>
      <c r="AG579" s="273">
        <f t="shared" si="195"/>
        <v>0</v>
      </c>
      <c r="AH579" s="273">
        <f t="shared" si="196"/>
        <v>0</v>
      </c>
      <c r="AI579" s="273">
        <f t="shared" si="197"/>
        <v>0</v>
      </c>
      <c r="AJ579" s="273">
        <f t="shared" si="198"/>
        <v>0</v>
      </c>
      <c r="AK579" s="273">
        <f t="shared" si="199"/>
        <v>0</v>
      </c>
      <c r="AL579" s="274">
        <f t="shared" si="200"/>
        <v>0</v>
      </c>
      <c r="AN579" s="75" t="str">
        <f t="shared" si="201"/>
        <v>-</v>
      </c>
      <c r="AO579" s="75" t="str">
        <f t="shared" si="202"/>
        <v>-</v>
      </c>
      <c r="AP579" s="48">
        <f t="shared" si="205"/>
        <v>0</v>
      </c>
      <c r="AQ579" s="48">
        <f t="shared" si="203"/>
        <v>0</v>
      </c>
      <c r="AR579" s="49" t="e">
        <f t="shared" si="204"/>
        <v>#N/A</v>
      </c>
    </row>
    <row r="580" spans="1:44" ht="15">
      <c r="A580" s="38"/>
      <c r="B580" s="38"/>
      <c r="C580" s="38"/>
      <c r="D580" s="38"/>
      <c r="E580" s="38"/>
      <c r="F580" s="38"/>
      <c r="G580" s="47">
        <f t="shared" si="186"/>
        <v>6.5978850116714893E-2</v>
      </c>
      <c r="H580" s="44"/>
      <c r="I580" s="44"/>
      <c r="J580" s="45">
        <f t="shared" si="206"/>
        <v>0</v>
      </c>
      <c r="K580" s="38"/>
      <c r="L580" s="38"/>
      <c r="M580" s="38"/>
      <c r="N580" s="34" t="e">
        <f>VLOOKUP(F580,'GHG Emissions Factors'!$B$2:$C$4000,2,FALSE)</f>
        <v>#N/A</v>
      </c>
      <c r="O580" s="45" t="e">
        <f t="shared" si="187"/>
        <v>#N/A</v>
      </c>
      <c r="P580" s="34">
        <f>IF(L580="yes", 0, _xlfn.XLOOKUP(F580, 'GHG Emissions Factors'!$B$2:$B$4000, 'GHG Emissions Factors'!$D$2:$D$4000, 0))</f>
        <v>0</v>
      </c>
      <c r="Q580" s="46"/>
      <c r="R580" s="46"/>
      <c r="S580" s="46">
        <f>ProcurementAllocationData[[#This Row],[Net MWhs Procured]]-(ProcurementAllocationData[[#This Row],[Deep Green]]+ProcurementAllocationData[[#This Row],[LocalSol]]+ProcurementAllocationData[[#This Row],[GreenAccess]])</f>
        <v>0</v>
      </c>
      <c r="T580" s="46"/>
      <c r="U580" s="46"/>
      <c r="V580" s="46"/>
      <c r="W580" s="46"/>
      <c r="X580" s="46"/>
      <c r="Y580" s="112">
        <f t="shared" si="188"/>
        <v>0</v>
      </c>
      <c r="Z580" s="150">
        <f t="shared" si="189"/>
        <v>0</v>
      </c>
      <c r="AA580" s="150">
        <f t="shared" si="190"/>
        <v>0</v>
      </c>
      <c r="AB580" s="113">
        <f t="shared" si="191"/>
        <v>0</v>
      </c>
      <c r="AC580" s="36"/>
      <c r="AD580" s="272" t="str">
        <f t="shared" si="192"/>
        <v/>
      </c>
      <c r="AE580" s="273">
        <f t="shared" si="193"/>
        <v>0</v>
      </c>
      <c r="AF580" s="273">
        <f t="shared" si="194"/>
        <v>0</v>
      </c>
      <c r="AG580" s="273">
        <f t="shared" si="195"/>
        <v>0</v>
      </c>
      <c r="AH580" s="273">
        <f t="shared" si="196"/>
        <v>0</v>
      </c>
      <c r="AI580" s="273">
        <f t="shared" si="197"/>
        <v>0</v>
      </c>
      <c r="AJ580" s="273">
        <f t="shared" si="198"/>
        <v>0</v>
      </c>
      <c r="AK580" s="273">
        <f t="shared" si="199"/>
        <v>0</v>
      </c>
      <c r="AL580" s="274">
        <f t="shared" si="200"/>
        <v>0</v>
      </c>
      <c r="AN580" s="75" t="str">
        <f t="shared" si="201"/>
        <v>-</v>
      </c>
      <c r="AO580" s="75" t="str">
        <f t="shared" si="202"/>
        <v>-</v>
      </c>
      <c r="AP580" s="48">
        <f t="shared" si="205"/>
        <v>0</v>
      </c>
      <c r="AQ580" s="48">
        <f t="shared" si="203"/>
        <v>0</v>
      </c>
      <c r="AR580" s="49" t="e">
        <f t="shared" si="204"/>
        <v>#N/A</v>
      </c>
    </row>
    <row r="581" spans="1:44" ht="15">
      <c r="A581" s="38"/>
      <c r="B581" s="38"/>
      <c r="C581" s="38"/>
      <c r="D581" s="38"/>
      <c r="E581" s="38"/>
      <c r="F581" s="38"/>
      <c r="G581" s="47">
        <f t="shared" si="186"/>
        <v>6.5978850116714893E-2</v>
      </c>
      <c r="H581" s="44"/>
      <c r="I581" s="44"/>
      <c r="J581" s="45">
        <f t="shared" si="206"/>
        <v>0</v>
      </c>
      <c r="K581" s="38"/>
      <c r="L581" s="38"/>
      <c r="M581" s="38"/>
      <c r="N581" s="34" t="e">
        <f>VLOOKUP(F581,'GHG Emissions Factors'!$B$2:$C$4000,2,FALSE)</f>
        <v>#N/A</v>
      </c>
      <c r="O581" s="45" t="e">
        <f t="shared" si="187"/>
        <v>#N/A</v>
      </c>
      <c r="P581" s="34">
        <f>IF(L581="yes", 0, _xlfn.XLOOKUP(F581, 'GHG Emissions Factors'!$B$2:$B$4000, 'GHG Emissions Factors'!$D$2:$D$4000, 0))</f>
        <v>0</v>
      </c>
      <c r="Q581" s="46"/>
      <c r="R581" s="46"/>
      <c r="S581" s="46">
        <f>ProcurementAllocationData[[#This Row],[Net MWhs Procured]]-(ProcurementAllocationData[[#This Row],[Deep Green]]+ProcurementAllocationData[[#This Row],[LocalSol]]+ProcurementAllocationData[[#This Row],[GreenAccess]])</f>
        <v>0</v>
      </c>
      <c r="T581" s="46"/>
      <c r="U581" s="46"/>
      <c r="V581" s="46"/>
      <c r="W581" s="46"/>
      <c r="X581" s="46"/>
      <c r="Y581" s="112">
        <f t="shared" si="188"/>
        <v>0</v>
      </c>
      <c r="Z581" s="150">
        <f t="shared" si="189"/>
        <v>0</v>
      </c>
      <c r="AA581" s="150">
        <f t="shared" si="190"/>
        <v>0</v>
      </c>
      <c r="AB581" s="113">
        <f t="shared" si="191"/>
        <v>0</v>
      </c>
      <c r="AC581" s="36"/>
      <c r="AD581" s="272" t="str">
        <f t="shared" si="192"/>
        <v/>
      </c>
      <c r="AE581" s="273">
        <f t="shared" si="193"/>
        <v>0</v>
      </c>
      <c r="AF581" s="273">
        <f t="shared" si="194"/>
        <v>0</v>
      </c>
      <c r="AG581" s="273">
        <f t="shared" si="195"/>
        <v>0</v>
      </c>
      <c r="AH581" s="273">
        <f t="shared" si="196"/>
        <v>0</v>
      </c>
      <c r="AI581" s="273">
        <f t="shared" si="197"/>
        <v>0</v>
      </c>
      <c r="AJ581" s="273">
        <f t="shared" si="198"/>
        <v>0</v>
      </c>
      <c r="AK581" s="273">
        <f t="shared" si="199"/>
        <v>0</v>
      </c>
      <c r="AL581" s="274">
        <f t="shared" si="200"/>
        <v>0</v>
      </c>
      <c r="AN581" s="75" t="str">
        <f t="shared" si="201"/>
        <v>-</v>
      </c>
      <c r="AO581" s="75" t="str">
        <f t="shared" si="202"/>
        <v>-</v>
      </c>
      <c r="AP581" s="48">
        <f t="shared" si="205"/>
        <v>0</v>
      </c>
      <c r="AQ581" s="48">
        <f t="shared" si="203"/>
        <v>0</v>
      </c>
      <c r="AR581" s="49" t="e">
        <f t="shared" si="204"/>
        <v>#N/A</v>
      </c>
    </row>
    <row r="582" spans="1:44" ht="15">
      <c r="A582" s="38"/>
      <c r="B582" s="38"/>
      <c r="C582" s="38"/>
      <c r="D582" s="38"/>
      <c r="E582" s="38"/>
      <c r="F582" s="38"/>
      <c r="G582" s="47">
        <f t="shared" si="186"/>
        <v>6.5978850116714893E-2</v>
      </c>
      <c r="H582" s="44"/>
      <c r="I582" s="44"/>
      <c r="J582" s="45">
        <f t="shared" si="206"/>
        <v>0</v>
      </c>
      <c r="K582" s="38"/>
      <c r="L582" s="38"/>
      <c r="M582" s="38"/>
      <c r="N582" s="34" t="e">
        <f>VLOOKUP(F582,'GHG Emissions Factors'!$B$2:$C$4000,2,FALSE)</f>
        <v>#N/A</v>
      </c>
      <c r="O582" s="45" t="e">
        <f t="shared" si="187"/>
        <v>#N/A</v>
      </c>
      <c r="P582" s="34">
        <f>IF(L582="yes", 0, _xlfn.XLOOKUP(F582, 'GHG Emissions Factors'!$B$2:$B$4000, 'GHG Emissions Factors'!$D$2:$D$4000, 0))</f>
        <v>0</v>
      </c>
      <c r="Q582" s="46"/>
      <c r="R582" s="46"/>
      <c r="S582" s="46">
        <f>ProcurementAllocationData[[#This Row],[Net MWhs Procured]]-(ProcurementAllocationData[[#This Row],[Deep Green]]+ProcurementAllocationData[[#This Row],[LocalSol]]+ProcurementAllocationData[[#This Row],[GreenAccess]])</f>
        <v>0</v>
      </c>
      <c r="T582" s="46"/>
      <c r="U582" s="46"/>
      <c r="V582" s="46"/>
      <c r="W582" s="46"/>
      <c r="X582" s="46"/>
      <c r="Y582" s="112">
        <f t="shared" si="188"/>
        <v>0</v>
      </c>
      <c r="Z582" s="150">
        <f t="shared" si="189"/>
        <v>0</v>
      </c>
      <c r="AA582" s="150">
        <f t="shared" si="190"/>
        <v>0</v>
      </c>
      <c r="AB582" s="113">
        <f t="shared" si="191"/>
        <v>0</v>
      </c>
      <c r="AC582" s="36"/>
      <c r="AD582" s="272" t="str">
        <f t="shared" si="192"/>
        <v/>
      </c>
      <c r="AE582" s="273">
        <f t="shared" si="193"/>
        <v>0</v>
      </c>
      <c r="AF582" s="273">
        <f t="shared" si="194"/>
        <v>0</v>
      </c>
      <c r="AG582" s="273">
        <f t="shared" si="195"/>
        <v>0</v>
      </c>
      <c r="AH582" s="273">
        <f t="shared" si="196"/>
        <v>0</v>
      </c>
      <c r="AI582" s="273">
        <f t="shared" si="197"/>
        <v>0</v>
      </c>
      <c r="AJ582" s="273">
        <f t="shared" si="198"/>
        <v>0</v>
      </c>
      <c r="AK582" s="273">
        <f t="shared" si="199"/>
        <v>0</v>
      </c>
      <c r="AL582" s="274">
        <f t="shared" si="200"/>
        <v>0</v>
      </c>
      <c r="AN582" s="75" t="str">
        <f t="shared" si="201"/>
        <v>-</v>
      </c>
      <c r="AO582" s="75" t="str">
        <f t="shared" si="202"/>
        <v>-</v>
      </c>
      <c r="AP582" s="48">
        <f t="shared" si="205"/>
        <v>0</v>
      </c>
      <c r="AQ582" s="48">
        <f t="shared" si="203"/>
        <v>0</v>
      </c>
      <c r="AR582" s="49" t="e">
        <f t="shared" si="204"/>
        <v>#N/A</v>
      </c>
    </row>
    <row r="583" spans="1:44" ht="15">
      <c r="A583" s="38"/>
      <c r="B583" s="38"/>
      <c r="C583" s="38"/>
      <c r="D583" s="38"/>
      <c r="E583" s="38"/>
      <c r="F583" s="38"/>
      <c r="G583" s="47">
        <f t="shared" si="186"/>
        <v>6.5978850116714893E-2</v>
      </c>
      <c r="H583" s="44"/>
      <c r="I583" s="44"/>
      <c r="J583" s="45">
        <f t="shared" si="206"/>
        <v>0</v>
      </c>
      <c r="K583" s="38"/>
      <c r="L583" s="38"/>
      <c r="M583" s="38"/>
      <c r="N583" s="34" t="e">
        <f>VLOOKUP(F583,'GHG Emissions Factors'!$B$2:$C$4000,2,FALSE)</f>
        <v>#N/A</v>
      </c>
      <c r="O583" s="45" t="e">
        <f t="shared" si="187"/>
        <v>#N/A</v>
      </c>
      <c r="P583" s="34">
        <f>IF(L583="yes", 0, _xlfn.XLOOKUP(F583, 'GHG Emissions Factors'!$B$2:$B$4000, 'GHG Emissions Factors'!$D$2:$D$4000, 0))</f>
        <v>0</v>
      </c>
      <c r="Q583" s="46"/>
      <c r="R583" s="46"/>
      <c r="S583" s="46">
        <f>ProcurementAllocationData[[#This Row],[Net MWhs Procured]]-(ProcurementAllocationData[[#This Row],[Deep Green]]+ProcurementAllocationData[[#This Row],[LocalSol]]+ProcurementAllocationData[[#This Row],[GreenAccess]])</f>
        <v>0</v>
      </c>
      <c r="T583" s="46"/>
      <c r="U583" s="46"/>
      <c r="V583" s="46"/>
      <c r="W583" s="46"/>
      <c r="X583" s="46"/>
      <c r="Y583" s="112">
        <f t="shared" si="188"/>
        <v>0</v>
      </c>
      <c r="Z583" s="150">
        <f t="shared" si="189"/>
        <v>0</v>
      </c>
      <c r="AA583" s="150">
        <f t="shared" si="190"/>
        <v>0</v>
      </c>
      <c r="AB583" s="113">
        <f t="shared" si="191"/>
        <v>0</v>
      </c>
      <c r="AC583" s="36"/>
      <c r="AD583" s="272" t="str">
        <f t="shared" si="192"/>
        <v/>
      </c>
      <c r="AE583" s="273">
        <f t="shared" si="193"/>
        <v>0</v>
      </c>
      <c r="AF583" s="273">
        <f t="shared" si="194"/>
        <v>0</v>
      </c>
      <c r="AG583" s="273">
        <f t="shared" si="195"/>
        <v>0</v>
      </c>
      <c r="AH583" s="273">
        <f t="shared" si="196"/>
        <v>0</v>
      </c>
      <c r="AI583" s="273">
        <f t="shared" si="197"/>
        <v>0</v>
      </c>
      <c r="AJ583" s="273">
        <f t="shared" si="198"/>
        <v>0</v>
      </c>
      <c r="AK583" s="273">
        <f t="shared" si="199"/>
        <v>0</v>
      </c>
      <c r="AL583" s="274">
        <f t="shared" si="200"/>
        <v>0</v>
      </c>
      <c r="AN583" s="75" t="str">
        <f t="shared" si="201"/>
        <v>-</v>
      </c>
      <c r="AO583" s="75" t="str">
        <f t="shared" si="202"/>
        <v>-</v>
      </c>
      <c r="AP583" s="48">
        <f t="shared" si="205"/>
        <v>0</v>
      </c>
      <c r="AQ583" s="48">
        <f t="shared" si="203"/>
        <v>0</v>
      </c>
      <c r="AR583" s="49" t="e">
        <f t="shared" si="204"/>
        <v>#N/A</v>
      </c>
    </row>
    <row r="584" spans="1:44" ht="15">
      <c r="A584" s="38"/>
      <c r="B584" s="38"/>
      <c r="C584" s="38"/>
      <c r="D584" s="38"/>
      <c r="E584" s="38"/>
      <c r="F584" s="38"/>
      <c r="G584" s="47">
        <f t="shared" si="186"/>
        <v>6.5978850116714893E-2</v>
      </c>
      <c r="H584" s="44"/>
      <c r="I584" s="44"/>
      <c r="J584" s="45">
        <f t="shared" si="206"/>
        <v>0</v>
      </c>
      <c r="K584" s="38"/>
      <c r="L584" s="38"/>
      <c r="M584" s="38"/>
      <c r="N584" s="34" t="e">
        <f>VLOOKUP(F584,'GHG Emissions Factors'!$B$2:$C$4000,2,FALSE)</f>
        <v>#N/A</v>
      </c>
      <c r="O584" s="45" t="e">
        <f t="shared" si="187"/>
        <v>#N/A</v>
      </c>
      <c r="P584" s="34">
        <f>IF(L584="yes", 0, _xlfn.XLOOKUP(F584, 'GHG Emissions Factors'!$B$2:$B$4000, 'GHG Emissions Factors'!$D$2:$D$4000, 0))</f>
        <v>0</v>
      </c>
      <c r="Q584" s="46"/>
      <c r="R584" s="46"/>
      <c r="S584" s="46">
        <f>ProcurementAllocationData[[#This Row],[Net MWhs Procured]]-(ProcurementAllocationData[[#This Row],[Deep Green]]+ProcurementAllocationData[[#This Row],[LocalSol]]+ProcurementAllocationData[[#This Row],[GreenAccess]])</f>
        <v>0</v>
      </c>
      <c r="T584" s="46"/>
      <c r="U584" s="46"/>
      <c r="V584" s="46"/>
      <c r="W584" s="46"/>
      <c r="X584" s="46"/>
      <c r="Y584" s="112">
        <f t="shared" si="188"/>
        <v>0</v>
      </c>
      <c r="Z584" s="150">
        <f t="shared" si="189"/>
        <v>0</v>
      </c>
      <c r="AA584" s="150">
        <f t="shared" si="190"/>
        <v>0</v>
      </c>
      <c r="AB584" s="113">
        <f t="shared" si="191"/>
        <v>0</v>
      </c>
      <c r="AC584" s="36"/>
      <c r="AD584" s="272" t="str">
        <f t="shared" si="192"/>
        <v/>
      </c>
      <c r="AE584" s="273">
        <f t="shared" si="193"/>
        <v>0</v>
      </c>
      <c r="AF584" s="273">
        <f t="shared" si="194"/>
        <v>0</v>
      </c>
      <c r="AG584" s="273">
        <f t="shared" si="195"/>
        <v>0</v>
      </c>
      <c r="AH584" s="273">
        <f t="shared" si="196"/>
        <v>0</v>
      </c>
      <c r="AI584" s="273">
        <f t="shared" si="197"/>
        <v>0</v>
      </c>
      <c r="AJ584" s="273">
        <f t="shared" si="198"/>
        <v>0</v>
      </c>
      <c r="AK584" s="273">
        <f t="shared" si="199"/>
        <v>0</v>
      </c>
      <c r="AL584" s="274">
        <f t="shared" si="200"/>
        <v>0</v>
      </c>
      <c r="AN584" s="75" t="str">
        <f t="shared" si="201"/>
        <v>-</v>
      </c>
      <c r="AO584" s="75" t="str">
        <f t="shared" si="202"/>
        <v>-</v>
      </c>
      <c r="AP584" s="48">
        <f t="shared" si="205"/>
        <v>0</v>
      </c>
      <c r="AQ584" s="48">
        <f t="shared" si="203"/>
        <v>0</v>
      </c>
      <c r="AR584" s="49" t="e">
        <f t="shared" si="204"/>
        <v>#N/A</v>
      </c>
    </row>
    <row r="585" spans="1:44" ht="15">
      <c r="A585" s="38"/>
      <c r="B585" s="38"/>
      <c r="C585" s="38"/>
      <c r="D585" s="38"/>
      <c r="E585" s="38"/>
      <c r="F585" s="38"/>
      <c r="G585" s="47">
        <f t="shared" si="186"/>
        <v>6.5978850116714893E-2</v>
      </c>
      <c r="H585" s="44"/>
      <c r="I585" s="44"/>
      <c r="J585" s="45">
        <f t="shared" si="206"/>
        <v>0</v>
      </c>
      <c r="K585" s="38"/>
      <c r="L585" s="38"/>
      <c r="M585" s="38"/>
      <c r="N585" s="34" t="e">
        <f>VLOOKUP(F585,'GHG Emissions Factors'!$B$2:$C$4000,2,FALSE)</f>
        <v>#N/A</v>
      </c>
      <c r="O585" s="45" t="e">
        <f t="shared" si="187"/>
        <v>#N/A</v>
      </c>
      <c r="P585" s="34">
        <f>IF(L585="yes", 0, _xlfn.XLOOKUP(F585, 'GHG Emissions Factors'!$B$2:$B$4000, 'GHG Emissions Factors'!$D$2:$D$4000, 0))</f>
        <v>0</v>
      </c>
      <c r="Q585" s="46"/>
      <c r="R585" s="46"/>
      <c r="S585" s="46">
        <f>ProcurementAllocationData[[#This Row],[Net MWhs Procured]]-(ProcurementAllocationData[[#This Row],[Deep Green]]+ProcurementAllocationData[[#This Row],[LocalSol]]+ProcurementAllocationData[[#This Row],[GreenAccess]])</f>
        <v>0</v>
      </c>
      <c r="T585" s="46"/>
      <c r="U585" s="46"/>
      <c r="V585" s="46"/>
      <c r="W585" s="46"/>
      <c r="X585" s="46"/>
      <c r="Y585" s="112">
        <f t="shared" si="188"/>
        <v>0</v>
      </c>
      <c r="Z585" s="150">
        <f t="shared" si="189"/>
        <v>0</v>
      </c>
      <c r="AA585" s="150">
        <f t="shared" si="190"/>
        <v>0</v>
      </c>
      <c r="AB585" s="113">
        <f t="shared" si="191"/>
        <v>0</v>
      </c>
      <c r="AC585" s="36"/>
      <c r="AD585" s="272" t="str">
        <f t="shared" si="192"/>
        <v/>
      </c>
      <c r="AE585" s="273">
        <f t="shared" si="193"/>
        <v>0</v>
      </c>
      <c r="AF585" s="273">
        <f t="shared" si="194"/>
        <v>0</v>
      </c>
      <c r="AG585" s="273">
        <f t="shared" si="195"/>
        <v>0</v>
      </c>
      <c r="AH585" s="273">
        <f t="shared" si="196"/>
        <v>0</v>
      </c>
      <c r="AI585" s="273">
        <f t="shared" si="197"/>
        <v>0</v>
      </c>
      <c r="AJ585" s="273">
        <f t="shared" si="198"/>
        <v>0</v>
      </c>
      <c r="AK585" s="273">
        <f t="shared" si="199"/>
        <v>0</v>
      </c>
      <c r="AL585" s="274">
        <f t="shared" si="200"/>
        <v>0</v>
      </c>
      <c r="AN585" s="75" t="str">
        <f t="shared" si="201"/>
        <v>-</v>
      </c>
      <c r="AO585" s="75" t="str">
        <f t="shared" si="202"/>
        <v>-</v>
      </c>
      <c r="AP585" s="48">
        <f t="shared" si="205"/>
        <v>0</v>
      </c>
      <c r="AQ585" s="48">
        <f t="shared" si="203"/>
        <v>0</v>
      </c>
      <c r="AR585" s="49" t="e">
        <f t="shared" si="204"/>
        <v>#N/A</v>
      </c>
    </row>
    <row r="586" spans="1:44" ht="15">
      <c r="A586" s="38"/>
      <c r="B586" s="38"/>
      <c r="C586" s="38"/>
      <c r="D586" s="38"/>
      <c r="E586" s="38"/>
      <c r="F586" s="38"/>
      <c r="G586" s="47">
        <f t="shared" si="186"/>
        <v>6.5978850116714893E-2</v>
      </c>
      <c r="H586" s="44"/>
      <c r="I586" s="44"/>
      <c r="J586" s="45">
        <f t="shared" si="206"/>
        <v>0</v>
      </c>
      <c r="K586" s="38"/>
      <c r="L586" s="38"/>
      <c r="M586" s="38"/>
      <c r="N586" s="34" t="e">
        <f>VLOOKUP(F586,'GHG Emissions Factors'!$B$2:$C$4000,2,FALSE)</f>
        <v>#N/A</v>
      </c>
      <c r="O586" s="45" t="e">
        <f t="shared" si="187"/>
        <v>#N/A</v>
      </c>
      <c r="P586" s="34">
        <f>IF(L586="yes", 0, _xlfn.XLOOKUP(F586, 'GHG Emissions Factors'!$B$2:$B$4000, 'GHG Emissions Factors'!$D$2:$D$4000, 0))</f>
        <v>0</v>
      </c>
      <c r="Q586" s="46"/>
      <c r="R586" s="46"/>
      <c r="S586" s="46">
        <f>ProcurementAllocationData[[#This Row],[Net MWhs Procured]]-(ProcurementAllocationData[[#This Row],[Deep Green]]+ProcurementAllocationData[[#This Row],[LocalSol]]+ProcurementAllocationData[[#This Row],[GreenAccess]])</f>
        <v>0</v>
      </c>
      <c r="T586" s="46"/>
      <c r="U586" s="46"/>
      <c r="V586" s="46"/>
      <c r="W586" s="46"/>
      <c r="X586" s="46"/>
      <c r="Y586" s="112">
        <f t="shared" si="188"/>
        <v>0</v>
      </c>
      <c r="Z586" s="150">
        <f t="shared" si="189"/>
        <v>0</v>
      </c>
      <c r="AA586" s="150">
        <f t="shared" si="190"/>
        <v>0</v>
      </c>
      <c r="AB586" s="113">
        <f t="shared" si="191"/>
        <v>0</v>
      </c>
      <c r="AC586" s="36"/>
      <c r="AD586" s="272" t="str">
        <f t="shared" si="192"/>
        <v/>
      </c>
      <c r="AE586" s="273">
        <f t="shared" si="193"/>
        <v>0</v>
      </c>
      <c r="AF586" s="273">
        <f t="shared" si="194"/>
        <v>0</v>
      </c>
      <c r="AG586" s="273">
        <f t="shared" si="195"/>
        <v>0</v>
      </c>
      <c r="AH586" s="273">
        <f t="shared" si="196"/>
        <v>0</v>
      </c>
      <c r="AI586" s="273">
        <f t="shared" si="197"/>
        <v>0</v>
      </c>
      <c r="AJ586" s="273">
        <f t="shared" si="198"/>
        <v>0</v>
      </c>
      <c r="AK586" s="273">
        <f t="shared" si="199"/>
        <v>0</v>
      </c>
      <c r="AL586" s="274">
        <f t="shared" si="200"/>
        <v>0</v>
      </c>
      <c r="AN586" s="75" t="str">
        <f t="shared" si="201"/>
        <v>-</v>
      </c>
      <c r="AO586" s="75" t="str">
        <f t="shared" si="202"/>
        <v>-</v>
      </c>
      <c r="AP586" s="48">
        <f t="shared" si="205"/>
        <v>0</v>
      </c>
      <c r="AQ586" s="48">
        <f t="shared" si="203"/>
        <v>0</v>
      </c>
      <c r="AR586" s="49" t="e">
        <f t="shared" si="204"/>
        <v>#N/A</v>
      </c>
    </row>
    <row r="587" spans="1:44" ht="15">
      <c r="A587" s="38"/>
      <c r="B587" s="38"/>
      <c r="C587" s="38"/>
      <c r="D587" s="38"/>
      <c r="E587" s="38"/>
      <c r="F587" s="38"/>
      <c r="G587" s="47">
        <f t="shared" si="186"/>
        <v>6.5978850116714893E-2</v>
      </c>
      <c r="H587" s="44"/>
      <c r="I587" s="44"/>
      <c r="J587" s="45">
        <f t="shared" si="206"/>
        <v>0</v>
      </c>
      <c r="K587" s="38"/>
      <c r="L587" s="38"/>
      <c r="M587" s="38"/>
      <c r="N587" s="34" t="e">
        <f>VLOOKUP(F587,'GHG Emissions Factors'!$B$2:$C$4000,2,FALSE)</f>
        <v>#N/A</v>
      </c>
      <c r="O587" s="45" t="e">
        <f t="shared" si="187"/>
        <v>#N/A</v>
      </c>
      <c r="P587" s="34">
        <f>IF(L587="yes", 0, _xlfn.XLOOKUP(F587, 'GHG Emissions Factors'!$B$2:$B$4000, 'GHG Emissions Factors'!$D$2:$D$4000, 0))</f>
        <v>0</v>
      </c>
      <c r="Q587" s="46"/>
      <c r="R587" s="46"/>
      <c r="S587" s="46">
        <f>ProcurementAllocationData[[#This Row],[Net MWhs Procured]]-(ProcurementAllocationData[[#This Row],[Deep Green]]+ProcurementAllocationData[[#This Row],[LocalSol]]+ProcurementAllocationData[[#This Row],[GreenAccess]])</f>
        <v>0</v>
      </c>
      <c r="T587" s="46"/>
      <c r="U587" s="46"/>
      <c r="V587" s="46"/>
      <c r="W587" s="46"/>
      <c r="X587" s="46"/>
      <c r="Y587" s="112">
        <f t="shared" si="188"/>
        <v>0</v>
      </c>
      <c r="Z587" s="150">
        <f t="shared" si="189"/>
        <v>0</v>
      </c>
      <c r="AA587" s="150">
        <f t="shared" si="190"/>
        <v>0</v>
      </c>
      <c r="AB587" s="113">
        <f t="shared" si="191"/>
        <v>0</v>
      </c>
      <c r="AC587" s="36"/>
      <c r="AD587" s="272" t="str">
        <f t="shared" si="192"/>
        <v/>
      </c>
      <c r="AE587" s="273">
        <f t="shared" si="193"/>
        <v>0</v>
      </c>
      <c r="AF587" s="273">
        <f t="shared" si="194"/>
        <v>0</v>
      </c>
      <c r="AG587" s="273">
        <f t="shared" si="195"/>
        <v>0</v>
      </c>
      <c r="AH587" s="273">
        <f t="shared" si="196"/>
        <v>0</v>
      </c>
      <c r="AI587" s="273">
        <f t="shared" si="197"/>
        <v>0</v>
      </c>
      <c r="AJ587" s="273">
        <f t="shared" si="198"/>
        <v>0</v>
      </c>
      <c r="AK587" s="273">
        <f t="shared" si="199"/>
        <v>0</v>
      </c>
      <c r="AL587" s="274">
        <f t="shared" si="200"/>
        <v>0</v>
      </c>
      <c r="AN587" s="75" t="str">
        <f t="shared" si="201"/>
        <v>-</v>
      </c>
      <c r="AO587" s="75" t="str">
        <f t="shared" si="202"/>
        <v>-</v>
      </c>
      <c r="AP587" s="48">
        <f t="shared" si="205"/>
        <v>0</v>
      </c>
      <c r="AQ587" s="48">
        <f t="shared" si="203"/>
        <v>0</v>
      </c>
      <c r="AR587" s="49" t="e">
        <f t="shared" si="204"/>
        <v>#N/A</v>
      </c>
    </row>
    <row r="588" spans="1:44" ht="15">
      <c r="A588" s="38"/>
      <c r="B588" s="38"/>
      <c r="C588" s="38"/>
      <c r="D588" s="38"/>
      <c r="E588" s="38"/>
      <c r="F588" s="38"/>
      <c r="G588" s="47">
        <f t="shared" si="186"/>
        <v>6.5978850116714893E-2</v>
      </c>
      <c r="H588" s="44"/>
      <c r="I588" s="44"/>
      <c r="J588" s="45">
        <f t="shared" si="206"/>
        <v>0</v>
      </c>
      <c r="K588" s="38"/>
      <c r="L588" s="38"/>
      <c r="M588" s="38"/>
      <c r="N588" s="34" t="e">
        <f>VLOOKUP(F588,'GHG Emissions Factors'!$B$2:$C$4000,2,FALSE)</f>
        <v>#N/A</v>
      </c>
      <c r="O588" s="45" t="e">
        <f t="shared" si="187"/>
        <v>#N/A</v>
      </c>
      <c r="P588" s="34">
        <f>IF(L588="yes", 0, _xlfn.XLOOKUP(F588, 'GHG Emissions Factors'!$B$2:$B$4000, 'GHG Emissions Factors'!$D$2:$D$4000, 0))</f>
        <v>0</v>
      </c>
      <c r="Q588" s="46"/>
      <c r="R588" s="46"/>
      <c r="S588" s="46">
        <f>ProcurementAllocationData[[#This Row],[Net MWhs Procured]]-(ProcurementAllocationData[[#This Row],[Deep Green]]+ProcurementAllocationData[[#This Row],[LocalSol]]+ProcurementAllocationData[[#This Row],[GreenAccess]])</f>
        <v>0</v>
      </c>
      <c r="T588" s="46"/>
      <c r="U588" s="46"/>
      <c r="V588" s="46"/>
      <c r="W588" s="46"/>
      <c r="X588" s="46"/>
      <c r="Y588" s="112">
        <f t="shared" si="188"/>
        <v>0</v>
      </c>
      <c r="Z588" s="150">
        <f t="shared" si="189"/>
        <v>0</v>
      </c>
      <c r="AA588" s="150">
        <f t="shared" si="190"/>
        <v>0</v>
      </c>
      <c r="AB588" s="113">
        <f t="shared" si="191"/>
        <v>0</v>
      </c>
      <c r="AC588" s="36"/>
      <c r="AD588" s="272" t="str">
        <f t="shared" si="192"/>
        <v/>
      </c>
      <c r="AE588" s="273">
        <f t="shared" si="193"/>
        <v>0</v>
      </c>
      <c r="AF588" s="273">
        <f t="shared" si="194"/>
        <v>0</v>
      </c>
      <c r="AG588" s="273">
        <f t="shared" si="195"/>
        <v>0</v>
      </c>
      <c r="AH588" s="273">
        <f t="shared" si="196"/>
        <v>0</v>
      </c>
      <c r="AI588" s="273">
        <f t="shared" si="197"/>
        <v>0</v>
      </c>
      <c r="AJ588" s="273">
        <f t="shared" si="198"/>
        <v>0</v>
      </c>
      <c r="AK588" s="273">
        <f t="shared" si="199"/>
        <v>0</v>
      </c>
      <c r="AL588" s="274">
        <f t="shared" si="200"/>
        <v>0</v>
      </c>
      <c r="AN588" s="75" t="str">
        <f t="shared" si="201"/>
        <v>-</v>
      </c>
      <c r="AO588" s="75" t="str">
        <f t="shared" si="202"/>
        <v>-</v>
      </c>
      <c r="AP588" s="48">
        <f t="shared" si="205"/>
        <v>0</v>
      </c>
      <c r="AQ588" s="48">
        <f t="shared" si="203"/>
        <v>0</v>
      </c>
      <c r="AR588" s="49" t="e">
        <f t="shared" si="204"/>
        <v>#N/A</v>
      </c>
    </row>
    <row r="589" spans="1:44" ht="15">
      <c r="A589" s="38"/>
      <c r="B589" s="38"/>
      <c r="C589" s="38"/>
      <c r="D589" s="38"/>
      <c r="E589" s="38"/>
      <c r="F589" s="38"/>
      <c r="G589" s="47">
        <f t="shared" si="186"/>
        <v>6.5978850116714893E-2</v>
      </c>
      <c r="H589" s="44"/>
      <c r="I589" s="44"/>
      <c r="J589" s="45">
        <f t="shared" si="206"/>
        <v>0</v>
      </c>
      <c r="K589" s="38"/>
      <c r="L589" s="38"/>
      <c r="M589" s="38"/>
      <c r="N589" s="34" t="e">
        <f>VLOOKUP(F589,'GHG Emissions Factors'!$B$2:$C$4000,2,FALSE)</f>
        <v>#N/A</v>
      </c>
      <c r="O589" s="45" t="e">
        <f t="shared" si="187"/>
        <v>#N/A</v>
      </c>
      <c r="P589" s="34">
        <f>IF(L589="yes", 0, _xlfn.XLOOKUP(F589, 'GHG Emissions Factors'!$B$2:$B$4000, 'GHG Emissions Factors'!$D$2:$D$4000, 0))</f>
        <v>0</v>
      </c>
      <c r="Q589" s="46"/>
      <c r="R589" s="46"/>
      <c r="S589" s="46">
        <f>ProcurementAllocationData[[#This Row],[Net MWhs Procured]]-(ProcurementAllocationData[[#This Row],[Deep Green]]+ProcurementAllocationData[[#This Row],[LocalSol]]+ProcurementAllocationData[[#This Row],[GreenAccess]])</f>
        <v>0</v>
      </c>
      <c r="T589" s="46"/>
      <c r="U589" s="46"/>
      <c r="V589" s="46"/>
      <c r="W589" s="46"/>
      <c r="X589" s="46"/>
      <c r="Y589" s="112">
        <f t="shared" si="188"/>
        <v>0</v>
      </c>
      <c r="Z589" s="150">
        <f t="shared" si="189"/>
        <v>0</v>
      </c>
      <c r="AA589" s="150">
        <f t="shared" si="190"/>
        <v>0</v>
      </c>
      <c r="AB589" s="113">
        <f t="shared" si="191"/>
        <v>0</v>
      </c>
      <c r="AC589" s="36"/>
      <c r="AD589" s="272" t="str">
        <f t="shared" si="192"/>
        <v/>
      </c>
      <c r="AE589" s="273">
        <f t="shared" si="193"/>
        <v>0</v>
      </c>
      <c r="AF589" s="273">
        <f t="shared" si="194"/>
        <v>0</v>
      </c>
      <c r="AG589" s="273">
        <f t="shared" si="195"/>
        <v>0</v>
      </c>
      <c r="AH589" s="273">
        <f t="shared" si="196"/>
        <v>0</v>
      </c>
      <c r="AI589" s="273">
        <f t="shared" si="197"/>
        <v>0</v>
      </c>
      <c r="AJ589" s="273">
        <f t="shared" si="198"/>
        <v>0</v>
      </c>
      <c r="AK589" s="273">
        <f t="shared" si="199"/>
        <v>0</v>
      </c>
      <c r="AL589" s="274">
        <f t="shared" si="200"/>
        <v>0</v>
      </c>
      <c r="AN589" s="75" t="str">
        <f t="shared" si="201"/>
        <v>-</v>
      </c>
      <c r="AO589" s="75" t="str">
        <f t="shared" si="202"/>
        <v>-</v>
      </c>
      <c r="AP589" s="48">
        <f t="shared" si="205"/>
        <v>0</v>
      </c>
      <c r="AQ589" s="48">
        <f t="shared" si="203"/>
        <v>0</v>
      </c>
      <c r="AR589" s="49" t="e">
        <f t="shared" si="204"/>
        <v>#N/A</v>
      </c>
    </row>
    <row r="590" spans="1:44" ht="15">
      <c r="A590" s="38"/>
      <c r="B590" s="38"/>
      <c r="C590" s="38"/>
      <c r="D590" s="38"/>
      <c r="E590" s="38"/>
      <c r="F590" s="38"/>
      <c r="G590" s="47">
        <f t="shared" si="186"/>
        <v>6.5978850116714893E-2</v>
      </c>
      <c r="H590" s="44"/>
      <c r="I590" s="44"/>
      <c r="J590" s="45">
        <f t="shared" si="206"/>
        <v>0</v>
      </c>
      <c r="K590" s="38"/>
      <c r="L590" s="38"/>
      <c r="M590" s="38"/>
      <c r="N590" s="34" t="e">
        <f>VLOOKUP(F590,'GHG Emissions Factors'!$B$2:$C$4000,2,FALSE)</f>
        <v>#N/A</v>
      </c>
      <c r="O590" s="45" t="e">
        <f t="shared" si="187"/>
        <v>#N/A</v>
      </c>
      <c r="P590" s="34">
        <f>IF(L590="yes", 0, _xlfn.XLOOKUP(F590, 'GHG Emissions Factors'!$B$2:$B$4000, 'GHG Emissions Factors'!$D$2:$D$4000, 0))</f>
        <v>0</v>
      </c>
      <c r="Q590" s="46"/>
      <c r="R590" s="46"/>
      <c r="S590" s="46">
        <f>ProcurementAllocationData[[#This Row],[Net MWhs Procured]]-(ProcurementAllocationData[[#This Row],[Deep Green]]+ProcurementAllocationData[[#This Row],[LocalSol]]+ProcurementAllocationData[[#This Row],[GreenAccess]])</f>
        <v>0</v>
      </c>
      <c r="T590" s="46"/>
      <c r="U590" s="46"/>
      <c r="V590" s="46"/>
      <c r="W590" s="46"/>
      <c r="X590" s="46"/>
      <c r="Y590" s="112">
        <f t="shared" si="188"/>
        <v>0</v>
      </c>
      <c r="Z590" s="150">
        <f t="shared" si="189"/>
        <v>0</v>
      </c>
      <c r="AA590" s="150">
        <f t="shared" si="190"/>
        <v>0</v>
      </c>
      <c r="AB590" s="113">
        <f t="shared" si="191"/>
        <v>0</v>
      </c>
      <c r="AC590" s="36"/>
      <c r="AD590" s="272" t="str">
        <f t="shared" si="192"/>
        <v/>
      </c>
      <c r="AE590" s="273">
        <f t="shared" si="193"/>
        <v>0</v>
      </c>
      <c r="AF590" s="273">
        <f t="shared" si="194"/>
        <v>0</v>
      </c>
      <c r="AG590" s="273">
        <f t="shared" si="195"/>
        <v>0</v>
      </c>
      <c r="AH590" s="273">
        <f t="shared" si="196"/>
        <v>0</v>
      </c>
      <c r="AI590" s="273">
        <f t="shared" si="197"/>
        <v>0</v>
      </c>
      <c r="AJ590" s="273">
        <f t="shared" si="198"/>
        <v>0</v>
      </c>
      <c r="AK590" s="273">
        <f t="shared" si="199"/>
        <v>0</v>
      </c>
      <c r="AL590" s="274">
        <f t="shared" si="200"/>
        <v>0</v>
      </c>
      <c r="AN590" s="75" t="str">
        <f t="shared" si="201"/>
        <v>-</v>
      </c>
      <c r="AO590" s="75" t="str">
        <f t="shared" si="202"/>
        <v>-</v>
      </c>
      <c r="AP590" s="48">
        <f t="shared" si="205"/>
        <v>0</v>
      </c>
      <c r="AQ590" s="48">
        <f t="shared" si="203"/>
        <v>0</v>
      </c>
      <c r="AR590" s="49" t="e">
        <f t="shared" si="204"/>
        <v>#N/A</v>
      </c>
    </row>
    <row r="591" spans="1:44" ht="15">
      <c r="A591" s="38"/>
      <c r="B591" s="38"/>
      <c r="C591" s="38"/>
      <c r="D591" s="38"/>
      <c r="E591" s="38"/>
      <c r="F591" s="38"/>
      <c r="G591" s="47">
        <f t="shared" si="186"/>
        <v>6.5978850116714893E-2</v>
      </c>
      <c r="H591" s="44"/>
      <c r="I591" s="44"/>
      <c r="J591" s="45">
        <f t="shared" si="206"/>
        <v>0</v>
      </c>
      <c r="K591" s="38"/>
      <c r="L591" s="38"/>
      <c r="M591" s="38"/>
      <c r="N591" s="34" t="e">
        <f>VLOOKUP(F591,'GHG Emissions Factors'!$B$2:$C$4000,2,FALSE)</f>
        <v>#N/A</v>
      </c>
      <c r="O591" s="45" t="e">
        <f t="shared" si="187"/>
        <v>#N/A</v>
      </c>
      <c r="P591" s="34">
        <f>IF(L591="yes", 0, _xlfn.XLOOKUP(F591, 'GHG Emissions Factors'!$B$2:$B$4000, 'GHG Emissions Factors'!$D$2:$D$4000, 0))</f>
        <v>0</v>
      </c>
      <c r="Q591" s="46"/>
      <c r="R591" s="46"/>
      <c r="S591" s="46">
        <f>ProcurementAllocationData[[#This Row],[Net MWhs Procured]]-(ProcurementAllocationData[[#This Row],[Deep Green]]+ProcurementAllocationData[[#This Row],[LocalSol]]+ProcurementAllocationData[[#This Row],[GreenAccess]])</f>
        <v>0</v>
      </c>
      <c r="T591" s="46"/>
      <c r="U591" s="46"/>
      <c r="V591" s="46"/>
      <c r="W591" s="46"/>
      <c r="X591" s="46"/>
      <c r="Y591" s="112">
        <f t="shared" si="188"/>
        <v>0</v>
      </c>
      <c r="Z591" s="150">
        <f t="shared" si="189"/>
        <v>0</v>
      </c>
      <c r="AA591" s="150">
        <f t="shared" si="190"/>
        <v>0</v>
      </c>
      <c r="AB591" s="113">
        <f t="shared" si="191"/>
        <v>0</v>
      </c>
      <c r="AC591" s="36"/>
      <c r="AD591" s="272" t="str">
        <f t="shared" si="192"/>
        <v/>
      </c>
      <c r="AE591" s="273">
        <f t="shared" si="193"/>
        <v>0</v>
      </c>
      <c r="AF591" s="273">
        <f t="shared" si="194"/>
        <v>0</v>
      </c>
      <c r="AG591" s="273">
        <f t="shared" si="195"/>
        <v>0</v>
      </c>
      <c r="AH591" s="273">
        <f t="shared" si="196"/>
        <v>0</v>
      </c>
      <c r="AI591" s="273">
        <f t="shared" si="197"/>
        <v>0</v>
      </c>
      <c r="AJ591" s="273">
        <f t="shared" si="198"/>
        <v>0</v>
      </c>
      <c r="AK591" s="273">
        <f t="shared" si="199"/>
        <v>0</v>
      </c>
      <c r="AL591" s="274">
        <f t="shared" si="200"/>
        <v>0</v>
      </c>
      <c r="AN591" s="75" t="str">
        <f t="shared" si="201"/>
        <v>-</v>
      </c>
      <c r="AO591" s="75" t="str">
        <f t="shared" si="202"/>
        <v>-</v>
      </c>
      <c r="AP591" s="48">
        <f t="shared" si="205"/>
        <v>0</v>
      </c>
      <c r="AQ591" s="48">
        <f t="shared" si="203"/>
        <v>0</v>
      </c>
      <c r="AR591" s="49" t="e">
        <f t="shared" si="204"/>
        <v>#N/A</v>
      </c>
    </row>
    <row r="592" spans="1:44" ht="15">
      <c r="A592" s="38"/>
      <c r="B592" s="38"/>
      <c r="C592" s="38"/>
      <c r="D592" s="38"/>
      <c r="E592" s="38"/>
      <c r="F592" s="38"/>
      <c r="G592" s="47">
        <f t="shared" si="186"/>
        <v>6.5978850116714893E-2</v>
      </c>
      <c r="H592" s="44"/>
      <c r="I592" s="44"/>
      <c r="J592" s="45">
        <f t="shared" si="206"/>
        <v>0</v>
      </c>
      <c r="K592" s="38"/>
      <c r="L592" s="38"/>
      <c r="M592" s="38"/>
      <c r="N592" s="34" t="e">
        <f>VLOOKUP(F592,'GHG Emissions Factors'!$B$2:$C$4000,2,FALSE)</f>
        <v>#N/A</v>
      </c>
      <c r="O592" s="45" t="e">
        <f t="shared" si="187"/>
        <v>#N/A</v>
      </c>
      <c r="P592" s="34">
        <f>IF(L592="yes", 0, _xlfn.XLOOKUP(F592, 'GHG Emissions Factors'!$B$2:$B$4000, 'GHG Emissions Factors'!$D$2:$D$4000, 0))</f>
        <v>0</v>
      </c>
      <c r="Q592" s="46"/>
      <c r="R592" s="46"/>
      <c r="S592" s="46">
        <f>ProcurementAllocationData[[#This Row],[Net MWhs Procured]]-(ProcurementAllocationData[[#This Row],[Deep Green]]+ProcurementAllocationData[[#This Row],[LocalSol]]+ProcurementAllocationData[[#This Row],[GreenAccess]])</f>
        <v>0</v>
      </c>
      <c r="T592" s="46"/>
      <c r="U592" s="46"/>
      <c r="V592" s="46"/>
      <c r="W592" s="46"/>
      <c r="X592" s="46"/>
      <c r="Y592" s="112">
        <f t="shared" si="188"/>
        <v>0</v>
      </c>
      <c r="Z592" s="150">
        <f t="shared" si="189"/>
        <v>0</v>
      </c>
      <c r="AA592" s="150">
        <f t="shared" si="190"/>
        <v>0</v>
      </c>
      <c r="AB592" s="113">
        <f t="shared" si="191"/>
        <v>0</v>
      </c>
      <c r="AC592" s="36"/>
      <c r="AD592" s="272" t="str">
        <f t="shared" si="192"/>
        <v/>
      </c>
      <c r="AE592" s="273">
        <f t="shared" si="193"/>
        <v>0</v>
      </c>
      <c r="AF592" s="273">
        <f t="shared" si="194"/>
        <v>0</v>
      </c>
      <c r="AG592" s="273">
        <f t="shared" si="195"/>
        <v>0</v>
      </c>
      <c r="AH592" s="273">
        <f t="shared" si="196"/>
        <v>0</v>
      </c>
      <c r="AI592" s="273">
        <f t="shared" si="197"/>
        <v>0</v>
      </c>
      <c r="AJ592" s="273">
        <f t="shared" si="198"/>
        <v>0</v>
      </c>
      <c r="AK592" s="273">
        <f t="shared" si="199"/>
        <v>0</v>
      </c>
      <c r="AL592" s="274">
        <f t="shared" si="200"/>
        <v>0</v>
      </c>
      <c r="AN592" s="75" t="str">
        <f t="shared" si="201"/>
        <v>-</v>
      </c>
      <c r="AO592" s="75" t="str">
        <f t="shared" si="202"/>
        <v>-</v>
      </c>
      <c r="AP592" s="48">
        <f t="shared" si="205"/>
        <v>0</v>
      </c>
      <c r="AQ592" s="48">
        <f t="shared" si="203"/>
        <v>0</v>
      </c>
      <c r="AR592" s="49" t="e">
        <f t="shared" si="204"/>
        <v>#N/A</v>
      </c>
    </row>
    <row r="593" spans="1:44" ht="15">
      <c r="A593" s="38"/>
      <c r="B593" s="38"/>
      <c r="C593" s="38"/>
      <c r="D593" s="38"/>
      <c r="E593" s="38"/>
      <c r="F593" s="38"/>
      <c r="G593" s="47">
        <f t="shared" si="186"/>
        <v>6.5978850116714893E-2</v>
      </c>
      <c r="H593" s="44"/>
      <c r="I593" s="44"/>
      <c r="J593" s="45">
        <f t="shared" si="206"/>
        <v>0</v>
      </c>
      <c r="K593" s="38"/>
      <c r="L593" s="38"/>
      <c r="M593" s="38"/>
      <c r="N593" s="34" t="e">
        <f>VLOOKUP(F593,'GHG Emissions Factors'!$B$2:$C$4000,2,FALSE)</f>
        <v>#N/A</v>
      </c>
      <c r="O593" s="45" t="e">
        <f t="shared" si="187"/>
        <v>#N/A</v>
      </c>
      <c r="P593" s="34">
        <f>IF(L593="yes", 0, _xlfn.XLOOKUP(F593, 'GHG Emissions Factors'!$B$2:$B$4000, 'GHG Emissions Factors'!$D$2:$D$4000, 0))</f>
        <v>0</v>
      </c>
      <c r="Q593" s="46"/>
      <c r="R593" s="46"/>
      <c r="S593" s="46">
        <f>ProcurementAllocationData[[#This Row],[Net MWhs Procured]]-(ProcurementAllocationData[[#This Row],[Deep Green]]+ProcurementAllocationData[[#This Row],[LocalSol]]+ProcurementAllocationData[[#This Row],[GreenAccess]])</f>
        <v>0</v>
      </c>
      <c r="T593" s="46"/>
      <c r="U593" s="46"/>
      <c r="V593" s="46"/>
      <c r="W593" s="46"/>
      <c r="X593" s="46"/>
      <c r="Y593" s="112">
        <f t="shared" si="188"/>
        <v>0</v>
      </c>
      <c r="Z593" s="150">
        <f t="shared" si="189"/>
        <v>0</v>
      </c>
      <c r="AA593" s="150">
        <f t="shared" si="190"/>
        <v>0</v>
      </c>
      <c r="AB593" s="113">
        <f t="shared" si="191"/>
        <v>0</v>
      </c>
      <c r="AC593" s="36"/>
      <c r="AD593" s="272" t="str">
        <f t="shared" si="192"/>
        <v/>
      </c>
      <c r="AE593" s="273">
        <f t="shared" si="193"/>
        <v>0</v>
      </c>
      <c r="AF593" s="273">
        <f t="shared" si="194"/>
        <v>0</v>
      </c>
      <c r="AG593" s="273">
        <f t="shared" si="195"/>
        <v>0</v>
      </c>
      <c r="AH593" s="273">
        <f t="shared" si="196"/>
        <v>0</v>
      </c>
      <c r="AI593" s="273">
        <f t="shared" si="197"/>
        <v>0</v>
      </c>
      <c r="AJ593" s="273">
        <f t="shared" si="198"/>
        <v>0</v>
      </c>
      <c r="AK593" s="273">
        <f t="shared" si="199"/>
        <v>0</v>
      </c>
      <c r="AL593" s="274">
        <f t="shared" si="200"/>
        <v>0</v>
      </c>
      <c r="AN593" s="75" t="str">
        <f t="shared" si="201"/>
        <v>-</v>
      </c>
      <c r="AO593" s="75" t="str">
        <f t="shared" si="202"/>
        <v>-</v>
      </c>
      <c r="AP593" s="48">
        <f t="shared" si="205"/>
        <v>0</v>
      </c>
      <c r="AQ593" s="48">
        <f t="shared" si="203"/>
        <v>0</v>
      </c>
      <c r="AR593" s="49" t="e">
        <f t="shared" si="204"/>
        <v>#N/A</v>
      </c>
    </row>
    <row r="594" spans="1:44" ht="15">
      <c r="A594" s="38"/>
      <c r="B594" s="38"/>
      <c r="C594" s="38"/>
      <c r="D594" s="38"/>
      <c r="E594" s="38"/>
      <c r="F594" s="38"/>
      <c r="G594" s="47">
        <f t="shared" si="186"/>
        <v>6.5978850116714893E-2</v>
      </c>
      <c r="H594" s="44"/>
      <c r="I594" s="44"/>
      <c r="J594" s="45">
        <f t="shared" si="206"/>
        <v>0</v>
      </c>
      <c r="K594" s="38"/>
      <c r="L594" s="38"/>
      <c r="M594" s="38"/>
      <c r="N594" s="34" t="e">
        <f>VLOOKUP(F594,'GHG Emissions Factors'!$B$2:$C$4000,2,FALSE)</f>
        <v>#N/A</v>
      </c>
      <c r="O594" s="45" t="e">
        <f t="shared" si="187"/>
        <v>#N/A</v>
      </c>
      <c r="P594" s="34">
        <f>IF(L594="yes", 0, _xlfn.XLOOKUP(F594, 'GHG Emissions Factors'!$B$2:$B$4000, 'GHG Emissions Factors'!$D$2:$D$4000, 0))</f>
        <v>0</v>
      </c>
      <c r="Q594" s="46"/>
      <c r="R594" s="46"/>
      <c r="S594" s="46">
        <f>ProcurementAllocationData[[#This Row],[Net MWhs Procured]]-(ProcurementAllocationData[[#This Row],[Deep Green]]+ProcurementAllocationData[[#This Row],[LocalSol]]+ProcurementAllocationData[[#This Row],[GreenAccess]])</f>
        <v>0</v>
      </c>
      <c r="T594" s="46"/>
      <c r="U594" s="46"/>
      <c r="V594" s="46"/>
      <c r="W594" s="46"/>
      <c r="X594" s="46"/>
      <c r="Y594" s="112">
        <f t="shared" si="188"/>
        <v>0</v>
      </c>
      <c r="Z594" s="150">
        <f t="shared" si="189"/>
        <v>0</v>
      </c>
      <c r="AA594" s="150">
        <f t="shared" si="190"/>
        <v>0</v>
      </c>
      <c r="AB594" s="113">
        <f t="shared" si="191"/>
        <v>0</v>
      </c>
      <c r="AC594" s="36"/>
      <c r="AD594" s="272" t="str">
        <f t="shared" si="192"/>
        <v/>
      </c>
      <c r="AE594" s="273">
        <f t="shared" si="193"/>
        <v>0</v>
      </c>
      <c r="AF594" s="273">
        <f t="shared" si="194"/>
        <v>0</v>
      </c>
      <c r="AG594" s="273">
        <f t="shared" si="195"/>
        <v>0</v>
      </c>
      <c r="AH594" s="273">
        <f t="shared" si="196"/>
        <v>0</v>
      </c>
      <c r="AI594" s="273">
        <f t="shared" si="197"/>
        <v>0</v>
      </c>
      <c r="AJ594" s="273">
        <f t="shared" si="198"/>
        <v>0</v>
      </c>
      <c r="AK594" s="273">
        <f t="shared" si="199"/>
        <v>0</v>
      </c>
      <c r="AL594" s="274">
        <f t="shared" si="200"/>
        <v>0</v>
      </c>
      <c r="AN594" s="75" t="str">
        <f t="shared" si="201"/>
        <v>-</v>
      </c>
      <c r="AO594" s="75" t="str">
        <f t="shared" si="202"/>
        <v>-</v>
      </c>
      <c r="AP594" s="48">
        <f t="shared" si="205"/>
        <v>0</v>
      </c>
      <c r="AQ594" s="48">
        <f t="shared" si="203"/>
        <v>0</v>
      </c>
      <c r="AR594" s="49" t="e">
        <f t="shared" si="204"/>
        <v>#N/A</v>
      </c>
    </row>
    <row r="595" spans="1:44" ht="15">
      <c r="A595" s="38"/>
      <c r="B595" s="38"/>
      <c r="C595" s="38"/>
      <c r="D595" s="38"/>
      <c r="E595" s="38"/>
      <c r="F595" s="38"/>
      <c r="G595" s="47">
        <f t="shared" si="186"/>
        <v>6.5978850116714893E-2</v>
      </c>
      <c r="H595" s="44"/>
      <c r="I595" s="44"/>
      <c r="J595" s="45">
        <f t="shared" si="206"/>
        <v>0</v>
      </c>
      <c r="K595" s="38"/>
      <c r="L595" s="38"/>
      <c r="M595" s="38"/>
      <c r="N595" s="34" t="e">
        <f>VLOOKUP(F595,'GHG Emissions Factors'!$B$2:$C$4000,2,FALSE)</f>
        <v>#N/A</v>
      </c>
      <c r="O595" s="45" t="e">
        <f t="shared" si="187"/>
        <v>#N/A</v>
      </c>
      <c r="P595" s="34">
        <f>IF(L595="yes", 0, _xlfn.XLOOKUP(F595, 'GHG Emissions Factors'!$B$2:$B$4000, 'GHG Emissions Factors'!$D$2:$D$4000, 0))</f>
        <v>0</v>
      </c>
      <c r="Q595" s="46"/>
      <c r="R595" s="46"/>
      <c r="S595" s="46">
        <f>ProcurementAllocationData[[#This Row],[Net MWhs Procured]]-(ProcurementAllocationData[[#This Row],[Deep Green]]+ProcurementAllocationData[[#This Row],[LocalSol]]+ProcurementAllocationData[[#This Row],[GreenAccess]])</f>
        <v>0</v>
      </c>
      <c r="T595" s="46"/>
      <c r="U595" s="46"/>
      <c r="V595" s="46"/>
      <c r="W595" s="46"/>
      <c r="X595" s="46"/>
      <c r="Y595" s="112">
        <f t="shared" si="188"/>
        <v>0</v>
      </c>
      <c r="Z595" s="150">
        <f t="shared" si="189"/>
        <v>0</v>
      </c>
      <c r="AA595" s="150">
        <f t="shared" si="190"/>
        <v>0</v>
      </c>
      <c r="AB595" s="113">
        <f t="shared" si="191"/>
        <v>0</v>
      </c>
      <c r="AC595" s="36"/>
      <c r="AD595" s="272" t="str">
        <f t="shared" si="192"/>
        <v/>
      </c>
      <c r="AE595" s="273">
        <f t="shared" si="193"/>
        <v>0</v>
      </c>
      <c r="AF595" s="273">
        <f t="shared" si="194"/>
        <v>0</v>
      </c>
      <c r="AG595" s="273">
        <f t="shared" si="195"/>
        <v>0</v>
      </c>
      <c r="AH595" s="273">
        <f t="shared" si="196"/>
        <v>0</v>
      </c>
      <c r="AI595" s="273">
        <f t="shared" si="197"/>
        <v>0</v>
      </c>
      <c r="AJ595" s="273">
        <f t="shared" si="198"/>
        <v>0</v>
      </c>
      <c r="AK595" s="273">
        <f t="shared" si="199"/>
        <v>0</v>
      </c>
      <c r="AL595" s="274">
        <f t="shared" si="200"/>
        <v>0</v>
      </c>
      <c r="AN595" s="75" t="str">
        <f t="shared" si="201"/>
        <v>-</v>
      </c>
      <c r="AO595" s="75" t="str">
        <f t="shared" si="202"/>
        <v>-</v>
      </c>
      <c r="AP595" s="48">
        <f t="shared" si="205"/>
        <v>0</v>
      </c>
      <c r="AQ595" s="48">
        <f t="shared" si="203"/>
        <v>0</v>
      </c>
      <c r="AR595" s="49" t="e">
        <f t="shared" si="204"/>
        <v>#N/A</v>
      </c>
    </row>
    <row r="596" spans="1:44" ht="15">
      <c r="A596" s="38"/>
      <c r="B596" s="38"/>
      <c r="C596" s="38"/>
      <c r="D596" s="38"/>
      <c r="E596" s="38"/>
      <c r="F596" s="38"/>
      <c r="G596" s="47">
        <f t="shared" si="186"/>
        <v>6.5978850116714893E-2</v>
      </c>
      <c r="H596" s="44"/>
      <c r="I596" s="44"/>
      <c r="J596" s="45">
        <f t="shared" si="206"/>
        <v>0</v>
      </c>
      <c r="K596" s="38"/>
      <c r="L596" s="38"/>
      <c r="M596" s="38"/>
      <c r="N596" s="34" t="e">
        <f>VLOOKUP(F596,'GHG Emissions Factors'!$B$2:$C$4000,2,FALSE)</f>
        <v>#N/A</v>
      </c>
      <c r="O596" s="45" t="e">
        <f t="shared" si="187"/>
        <v>#N/A</v>
      </c>
      <c r="P596" s="34">
        <f>IF(L596="yes", 0, _xlfn.XLOOKUP(F596, 'GHG Emissions Factors'!$B$2:$B$4000, 'GHG Emissions Factors'!$D$2:$D$4000, 0))</f>
        <v>0</v>
      </c>
      <c r="Q596" s="46"/>
      <c r="R596" s="46"/>
      <c r="S596" s="46">
        <f>ProcurementAllocationData[[#This Row],[Net MWhs Procured]]-(ProcurementAllocationData[[#This Row],[Deep Green]]+ProcurementAllocationData[[#This Row],[LocalSol]]+ProcurementAllocationData[[#This Row],[GreenAccess]])</f>
        <v>0</v>
      </c>
      <c r="T596" s="46"/>
      <c r="U596" s="46"/>
      <c r="V596" s="46"/>
      <c r="W596" s="46"/>
      <c r="X596" s="46"/>
      <c r="Y596" s="112">
        <f t="shared" si="188"/>
        <v>0</v>
      </c>
      <c r="Z596" s="150">
        <f t="shared" si="189"/>
        <v>0</v>
      </c>
      <c r="AA596" s="150">
        <f t="shared" si="190"/>
        <v>0</v>
      </c>
      <c r="AB596" s="113">
        <f t="shared" si="191"/>
        <v>0</v>
      </c>
      <c r="AC596" s="36"/>
      <c r="AD596" s="272" t="str">
        <f t="shared" si="192"/>
        <v/>
      </c>
      <c r="AE596" s="273">
        <f t="shared" si="193"/>
        <v>0</v>
      </c>
      <c r="AF596" s="273">
        <f t="shared" si="194"/>
        <v>0</v>
      </c>
      <c r="AG596" s="273">
        <f t="shared" si="195"/>
        <v>0</v>
      </c>
      <c r="AH596" s="273">
        <f t="shared" si="196"/>
        <v>0</v>
      </c>
      <c r="AI596" s="273">
        <f t="shared" si="197"/>
        <v>0</v>
      </c>
      <c r="AJ596" s="273">
        <f t="shared" si="198"/>
        <v>0</v>
      </c>
      <c r="AK596" s="273">
        <f t="shared" si="199"/>
        <v>0</v>
      </c>
      <c r="AL596" s="274">
        <f t="shared" si="200"/>
        <v>0</v>
      </c>
      <c r="AN596" s="75" t="str">
        <f t="shared" si="201"/>
        <v>-</v>
      </c>
      <c r="AO596" s="75" t="str">
        <f t="shared" si="202"/>
        <v>-</v>
      </c>
      <c r="AP596" s="48">
        <f t="shared" si="205"/>
        <v>0</v>
      </c>
      <c r="AQ596" s="48">
        <f t="shared" si="203"/>
        <v>0</v>
      </c>
      <c r="AR596" s="49" t="e">
        <f t="shared" si="204"/>
        <v>#N/A</v>
      </c>
    </row>
    <row r="597" spans="1:44" ht="15">
      <c r="A597" s="38"/>
      <c r="B597" s="38"/>
      <c r="C597" s="38"/>
      <c r="D597" s="38"/>
      <c r="E597" s="38"/>
      <c r="F597" s="38"/>
      <c r="G597" s="47">
        <f t="shared" si="186"/>
        <v>6.5978850116714893E-2</v>
      </c>
      <c r="H597" s="44"/>
      <c r="I597" s="44"/>
      <c r="J597" s="45">
        <f t="shared" si="206"/>
        <v>0</v>
      </c>
      <c r="K597" s="38"/>
      <c r="L597" s="38"/>
      <c r="M597" s="38"/>
      <c r="N597" s="34" t="e">
        <f>VLOOKUP(F597,'GHG Emissions Factors'!$B$2:$C$4000,2,FALSE)</f>
        <v>#N/A</v>
      </c>
      <c r="O597" s="45" t="e">
        <f t="shared" si="187"/>
        <v>#N/A</v>
      </c>
      <c r="P597" s="34">
        <f>IF(L597="yes", 0, _xlfn.XLOOKUP(F597, 'GHG Emissions Factors'!$B$2:$B$4000, 'GHG Emissions Factors'!$D$2:$D$4000, 0))</f>
        <v>0</v>
      </c>
      <c r="Q597" s="46"/>
      <c r="R597" s="46"/>
      <c r="S597" s="46">
        <f>ProcurementAllocationData[[#This Row],[Net MWhs Procured]]-(ProcurementAllocationData[[#This Row],[Deep Green]]+ProcurementAllocationData[[#This Row],[LocalSol]]+ProcurementAllocationData[[#This Row],[GreenAccess]])</f>
        <v>0</v>
      </c>
      <c r="T597" s="46"/>
      <c r="U597" s="46"/>
      <c r="V597" s="46"/>
      <c r="W597" s="46"/>
      <c r="X597" s="46"/>
      <c r="Y597" s="112">
        <f t="shared" si="188"/>
        <v>0</v>
      </c>
      <c r="Z597" s="150">
        <f t="shared" si="189"/>
        <v>0</v>
      </c>
      <c r="AA597" s="150">
        <f t="shared" si="190"/>
        <v>0</v>
      </c>
      <c r="AB597" s="113">
        <f t="shared" si="191"/>
        <v>0</v>
      </c>
      <c r="AC597" s="36"/>
      <c r="AD597" s="272" t="str">
        <f t="shared" si="192"/>
        <v/>
      </c>
      <c r="AE597" s="273">
        <f t="shared" si="193"/>
        <v>0</v>
      </c>
      <c r="AF597" s="273">
        <f t="shared" si="194"/>
        <v>0</v>
      </c>
      <c r="AG597" s="273">
        <f t="shared" si="195"/>
        <v>0</v>
      </c>
      <c r="AH597" s="273">
        <f t="shared" si="196"/>
        <v>0</v>
      </c>
      <c r="AI597" s="273">
        <f t="shared" si="197"/>
        <v>0</v>
      </c>
      <c r="AJ597" s="273">
        <f t="shared" si="198"/>
        <v>0</v>
      </c>
      <c r="AK597" s="273">
        <f t="shared" si="199"/>
        <v>0</v>
      </c>
      <c r="AL597" s="274">
        <f t="shared" si="200"/>
        <v>0</v>
      </c>
      <c r="AN597" s="75" t="str">
        <f t="shared" si="201"/>
        <v>-</v>
      </c>
      <c r="AO597" s="75" t="str">
        <f t="shared" si="202"/>
        <v>-</v>
      </c>
      <c r="AP597" s="48">
        <f t="shared" si="205"/>
        <v>0</v>
      </c>
      <c r="AQ597" s="48">
        <f t="shared" si="203"/>
        <v>0</v>
      </c>
      <c r="AR597" s="49" t="e">
        <f t="shared" si="204"/>
        <v>#N/A</v>
      </c>
    </row>
    <row r="598" spans="1:44" ht="15">
      <c r="A598" s="38"/>
      <c r="B598" s="38"/>
      <c r="C598" s="38"/>
      <c r="D598" s="38"/>
      <c r="E598" s="38"/>
      <c r="F598" s="38"/>
      <c r="G598" s="47">
        <f t="shared" si="186"/>
        <v>6.5978850116714893E-2</v>
      </c>
      <c r="H598" s="44"/>
      <c r="I598" s="44"/>
      <c r="J598" s="45">
        <f t="shared" ref="J598:J599" si="207">H598-I598</f>
        <v>0</v>
      </c>
      <c r="K598" s="38"/>
      <c r="L598" s="38"/>
      <c r="M598" s="38"/>
      <c r="N598" s="34" t="e">
        <f>VLOOKUP(F598,'GHG Emissions Factors'!$B$2:$C$4000,2,FALSE)</f>
        <v>#N/A</v>
      </c>
      <c r="O598" s="45" t="e">
        <f t="shared" ref="O598:O599" si="208">N598*J598</f>
        <v>#N/A</v>
      </c>
      <c r="P598" s="34">
        <f>IF(L598="yes", 0, _xlfn.XLOOKUP(F598, 'GHG Emissions Factors'!$B$2:$B$4000, 'GHG Emissions Factors'!$D$2:$D$4000, 0))</f>
        <v>0</v>
      </c>
      <c r="Q598" s="46"/>
      <c r="R598" s="46"/>
      <c r="S598" s="46">
        <f>ProcurementAllocationData[[#This Row],[Net MWhs Procured]]-(ProcurementAllocationData[[#This Row],[Deep Green]]+ProcurementAllocationData[[#This Row],[LocalSol]]+ProcurementAllocationData[[#This Row],[GreenAccess]])</f>
        <v>0</v>
      </c>
      <c r="T598" s="46"/>
      <c r="U598" s="46"/>
      <c r="V598" s="46"/>
      <c r="W598" s="46"/>
      <c r="X598" s="46"/>
      <c r="Y598" s="112">
        <f t="shared" si="188"/>
        <v>0</v>
      </c>
      <c r="Z598" s="150">
        <f t="shared" si="189"/>
        <v>0</v>
      </c>
      <c r="AA598" s="150">
        <f t="shared" si="190"/>
        <v>0</v>
      </c>
      <c r="AB598" s="113">
        <f t="shared" si="191"/>
        <v>0</v>
      </c>
      <c r="AC598" s="36"/>
      <c r="AD598" s="272" t="str">
        <f t="shared" si="192"/>
        <v/>
      </c>
      <c r="AE598" s="273">
        <f t="shared" si="193"/>
        <v>0</v>
      </c>
      <c r="AF598" s="273">
        <f t="shared" si="194"/>
        <v>0</v>
      </c>
      <c r="AG598" s="273">
        <f t="shared" si="195"/>
        <v>0</v>
      </c>
      <c r="AH598" s="273">
        <f t="shared" si="196"/>
        <v>0</v>
      </c>
      <c r="AI598" s="273">
        <f t="shared" si="197"/>
        <v>0</v>
      </c>
      <c r="AJ598" s="273">
        <f t="shared" si="198"/>
        <v>0</v>
      </c>
      <c r="AK598" s="273">
        <f t="shared" si="199"/>
        <v>0</v>
      </c>
      <c r="AL598" s="274">
        <f t="shared" si="200"/>
        <v>0</v>
      </c>
      <c r="AN598" s="75" t="str">
        <f t="shared" si="201"/>
        <v>-</v>
      </c>
      <c r="AO598" s="75" t="str">
        <f t="shared" si="202"/>
        <v>-</v>
      </c>
      <c r="AP598" s="48">
        <f t="shared" si="205"/>
        <v>0</v>
      </c>
      <c r="AQ598" s="48">
        <f t="shared" si="203"/>
        <v>0</v>
      </c>
      <c r="AR598" s="49" t="e">
        <f t="shared" si="204"/>
        <v>#N/A</v>
      </c>
    </row>
    <row r="599" spans="1:44" ht="15">
      <c r="A599" s="60"/>
      <c r="B599" s="60"/>
      <c r="C599" s="60"/>
      <c r="D599" s="60"/>
      <c r="E599" s="60"/>
      <c r="F599" s="60"/>
      <c r="G599" s="61">
        <f t="shared" si="186"/>
        <v>6.5978850116714893E-2</v>
      </c>
      <c r="H599" s="44"/>
      <c r="I599" s="44"/>
      <c r="J599" s="62">
        <f t="shared" si="207"/>
        <v>0</v>
      </c>
      <c r="K599" s="60"/>
      <c r="L599" s="60"/>
      <c r="M599" s="60"/>
      <c r="N599" s="63" t="e">
        <f>VLOOKUP(F599,'GHG Emissions Factors'!$B$2:$C$4000,2,FALSE)</f>
        <v>#N/A</v>
      </c>
      <c r="O599" s="62" t="e">
        <f t="shared" si="208"/>
        <v>#N/A</v>
      </c>
      <c r="P599" s="63">
        <f>IF(L599="yes", 0, _xlfn.XLOOKUP(F599, 'GHG Emissions Factors'!$B$2:$B$4000, 'GHG Emissions Factors'!$D$2:$D$4000, 0))</f>
        <v>0</v>
      </c>
      <c r="Q599" s="64"/>
      <c r="R599" s="64"/>
      <c r="S599" s="64">
        <f>ProcurementAllocationData[[#This Row],[Net MWhs Procured]]-(ProcurementAllocationData[[#This Row],[Deep Green]]+ProcurementAllocationData[[#This Row],[LocalSol]]+ProcurementAllocationData[[#This Row],[GreenAccess]])</f>
        <v>0</v>
      </c>
      <c r="T599" s="64"/>
      <c r="U599" s="64"/>
      <c r="V599" s="64"/>
      <c r="W599" s="64"/>
      <c r="X599" s="64"/>
      <c r="Y599" s="112">
        <f t="shared" si="188"/>
        <v>0</v>
      </c>
      <c r="Z599" s="151">
        <f t="shared" si="189"/>
        <v>0</v>
      </c>
      <c r="AA599" s="151">
        <f t="shared" si="190"/>
        <v>0</v>
      </c>
      <c r="AB599" s="114">
        <f t="shared" si="191"/>
        <v>0</v>
      </c>
      <c r="AC599" s="36"/>
      <c r="AD599" s="272" t="str">
        <f t="shared" si="192"/>
        <v/>
      </c>
      <c r="AE599" s="273">
        <f t="shared" si="193"/>
        <v>0</v>
      </c>
      <c r="AF599" s="273">
        <f t="shared" si="194"/>
        <v>0</v>
      </c>
      <c r="AG599" s="273">
        <f t="shared" si="195"/>
        <v>0</v>
      </c>
      <c r="AH599" s="273">
        <f t="shared" si="196"/>
        <v>0</v>
      </c>
      <c r="AI599" s="273">
        <f t="shared" si="197"/>
        <v>0</v>
      </c>
      <c r="AJ599" s="273">
        <f t="shared" si="198"/>
        <v>0</v>
      </c>
      <c r="AK599" s="273">
        <f t="shared" si="199"/>
        <v>0</v>
      </c>
      <c r="AL599" s="274">
        <f t="shared" si="200"/>
        <v>0</v>
      </c>
      <c r="AN599" s="75" t="str">
        <f t="shared" si="201"/>
        <v>-</v>
      </c>
      <c r="AO599" s="75" t="str">
        <f t="shared" si="202"/>
        <v>-</v>
      </c>
      <c r="AP599" s="48">
        <f t="shared" si="205"/>
        <v>0</v>
      </c>
      <c r="AQ599" s="48">
        <f t="shared" si="203"/>
        <v>0</v>
      </c>
      <c r="AR599" s="49" t="e">
        <f t="shared" si="204"/>
        <v>#N/A</v>
      </c>
    </row>
    <row r="600" spans="1:44" ht="14.25" customHeight="1">
      <c r="A600" s="38"/>
      <c r="B600" s="38"/>
      <c r="C600" s="38"/>
      <c r="D600" s="38"/>
      <c r="E600" s="38"/>
      <c r="F600" s="38"/>
      <c r="G600" s="47">
        <f>IF(C600="CA",Default_in_state_loss_factor,Default_out_of_state_loss_factor)</f>
        <v>6.5978850116714893E-2</v>
      </c>
      <c r="H600" s="44"/>
      <c r="I600" s="44"/>
      <c r="J600" s="45">
        <f t="shared" ref="J600:J601" si="209">H600-I600</f>
        <v>0</v>
      </c>
      <c r="K600" s="38"/>
      <c r="L600" s="38"/>
      <c r="M600" s="38"/>
      <c r="N600" s="34" t="e">
        <f>VLOOKUP(F600,'GHG Emissions Factors'!$B$2:$C$4000,2,FALSE)</f>
        <v>#N/A</v>
      </c>
      <c r="O600" s="45" t="e">
        <f t="shared" ref="O600:O601" si="210">N600*J600</f>
        <v>#N/A</v>
      </c>
      <c r="P600" s="34">
        <f>IF(L600="yes", 0, _xlfn.XLOOKUP(F600, 'GHG Emissions Factors'!$B$2:$B$4000, 'GHG Emissions Factors'!$D$2:$D$4000, 0))</f>
        <v>0</v>
      </c>
      <c r="Q600" s="46"/>
      <c r="R600" s="46"/>
      <c r="S600" s="46">
        <f>ProcurementAllocationData[[#This Row],[Net MWhs Procured]]-(ProcurementAllocationData[[#This Row],[Deep Green]]+ProcurementAllocationData[[#This Row],[LocalSol]]+ProcurementAllocationData[[#This Row],[GreenAccess]])</f>
        <v>0</v>
      </c>
      <c r="T600" s="46"/>
      <c r="U600" s="46"/>
      <c r="V600" s="46"/>
      <c r="W600" s="46"/>
      <c r="X600" s="46"/>
      <c r="Y600" s="112">
        <f t="shared" si="188"/>
        <v>0</v>
      </c>
      <c r="Z600" s="150">
        <f t="shared" si="189"/>
        <v>0</v>
      </c>
      <c r="AA600" s="150">
        <f t="shared" si="190"/>
        <v>0</v>
      </c>
      <c r="AB600" s="113">
        <f t="shared" si="191"/>
        <v>0</v>
      </c>
      <c r="AC600" s="36"/>
      <c r="AD600" s="272" t="str">
        <f t="shared" si="192"/>
        <v/>
      </c>
      <c r="AE600" s="273">
        <f t="shared" si="193"/>
        <v>0</v>
      </c>
      <c r="AF600" s="273">
        <f t="shared" si="194"/>
        <v>0</v>
      </c>
      <c r="AG600" s="273">
        <f t="shared" si="195"/>
        <v>0</v>
      </c>
      <c r="AH600" s="273">
        <f t="shared" si="196"/>
        <v>0</v>
      </c>
      <c r="AI600" s="273">
        <f t="shared" si="197"/>
        <v>0</v>
      </c>
      <c r="AJ600" s="273">
        <f t="shared" si="198"/>
        <v>0</v>
      </c>
      <c r="AK600" s="273">
        <f t="shared" si="199"/>
        <v>0</v>
      </c>
      <c r="AL600" s="274">
        <f t="shared" si="200"/>
        <v>0</v>
      </c>
      <c r="AN600" s="75" t="str">
        <f t="shared" si="201"/>
        <v>-</v>
      </c>
      <c r="AO600" s="75" t="str">
        <f t="shared" si="202"/>
        <v>-</v>
      </c>
      <c r="AP600" s="48">
        <f t="shared" ref="AP600" si="211">IF(AB600&gt;0,AB600,0)</f>
        <v>0</v>
      </c>
      <c r="AQ600" s="48">
        <f t="shared" si="203"/>
        <v>0</v>
      </c>
      <c r="AR600" s="49" t="e">
        <f t="shared" si="204"/>
        <v>#N/A</v>
      </c>
    </row>
    <row r="601" spans="1:44" ht="14.25" customHeight="1">
      <c r="A601" s="38"/>
      <c r="B601" s="38"/>
      <c r="C601" s="38"/>
      <c r="D601" s="38"/>
      <c r="E601" s="38"/>
      <c r="F601" s="38"/>
      <c r="G601" s="47">
        <f>IF(C601="CA",Default_in_state_loss_factor,Default_out_of_state_loss_factor)</f>
        <v>6.5978850116714893E-2</v>
      </c>
      <c r="H601" s="44"/>
      <c r="I601" s="44"/>
      <c r="J601" s="45">
        <f t="shared" si="209"/>
        <v>0</v>
      </c>
      <c r="K601" s="38"/>
      <c r="L601" s="38"/>
      <c r="M601" s="38"/>
      <c r="N601" s="34" t="e">
        <f>VLOOKUP(F601,'GHG Emissions Factors'!$B$2:$C$4000,2,FALSE)</f>
        <v>#N/A</v>
      </c>
      <c r="O601" s="45" t="e">
        <f t="shared" si="210"/>
        <v>#N/A</v>
      </c>
      <c r="P601" s="34">
        <f>IF(L601="yes", 0, _xlfn.XLOOKUP(F601, 'GHG Emissions Factors'!$B$2:$B$4000, 'GHG Emissions Factors'!$D$2:$D$4000, 0))</f>
        <v>0</v>
      </c>
      <c r="Q601" s="46"/>
      <c r="R601" s="46"/>
      <c r="S601" s="46">
        <f>ProcurementAllocationData[[#This Row],[Net MWhs Procured]]-(ProcurementAllocationData[[#This Row],[Deep Green]]+ProcurementAllocationData[[#This Row],[LocalSol]]+ProcurementAllocationData[[#This Row],[GreenAccess]])</f>
        <v>0</v>
      </c>
      <c r="T601" s="46"/>
      <c r="U601" s="46"/>
      <c r="V601" s="46"/>
      <c r="W601" s="46"/>
      <c r="X601" s="46"/>
      <c r="Y601" s="112">
        <f t="shared" si="188"/>
        <v>0</v>
      </c>
      <c r="Z601" s="150">
        <f t="shared" si="189"/>
        <v>0</v>
      </c>
      <c r="AA601" s="150">
        <f t="shared" si="190"/>
        <v>0</v>
      </c>
      <c r="AB601" s="113">
        <f t="shared" si="191"/>
        <v>0</v>
      </c>
      <c r="AC601" s="36"/>
      <c r="AD601" s="275" t="str">
        <f t="shared" si="192"/>
        <v/>
      </c>
      <c r="AE601" s="276">
        <f t="shared" si="193"/>
        <v>0</v>
      </c>
      <c r="AF601" s="276">
        <f t="shared" si="194"/>
        <v>0</v>
      </c>
      <c r="AG601" s="276">
        <f t="shared" si="195"/>
        <v>0</v>
      </c>
      <c r="AH601" s="276">
        <f t="shared" si="196"/>
        <v>0</v>
      </c>
      <c r="AI601" s="276">
        <f t="shared" si="197"/>
        <v>0</v>
      </c>
      <c r="AJ601" s="276">
        <f t="shared" si="198"/>
        <v>0</v>
      </c>
      <c r="AK601" s="276">
        <f t="shared" si="199"/>
        <v>0</v>
      </c>
      <c r="AL601" s="274">
        <f t="shared" si="200"/>
        <v>0</v>
      </c>
      <c r="AN601" s="75" t="str">
        <f t="shared" si="201"/>
        <v>-</v>
      </c>
      <c r="AO601" s="75" t="str">
        <f t="shared" si="202"/>
        <v>-</v>
      </c>
      <c r="AP601" s="48">
        <f t="shared" ref="AP601" si="212">IF(AB601&gt;0,AB601,0)</f>
        <v>0</v>
      </c>
      <c r="AQ601" s="48">
        <f t="shared" si="203"/>
        <v>0</v>
      </c>
      <c r="AR601" s="49" t="e">
        <f t="shared" si="204"/>
        <v>#N/A</v>
      </c>
    </row>
  </sheetData>
  <sheetProtection algorithmName="SHA-512" hashValue="6xEX7PL2zwq5fmEvXmfms0OtOWShOZ1CztO2tLbs7OaYFyL0Il13NrP4b0A//5jc7JnC8YgwgHRPRH27QeKuhQ==" saltValue="qjGsqyeGEFqKhcen1rsjKA==" spinCount="100000" sheet="1" objects="1" scenarios="1"/>
  <protectedRanges>
    <protectedRange sqref="AU24 V22 V28 V40:V1048576" name="Range1"/>
  </protectedRanges>
  <mergeCells count="1">
    <mergeCell ref="A1:O26"/>
  </mergeCells>
  <phoneticPr fontId="1" type="noConversion"/>
  <conditionalFormatting sqref="Q27">
    <cfRule type="containsBlanks" dxfId="27" priority="15">
      <formula>LEN(TRIM(Q27))=0</formula>
    </cfRule>
    <cfRule type="notContainsText" dxfId="26" priority="16" operator="notContains" text="Electricity Portfolio Name 1">
      <formula>ISERROR(SEARCH("Electricity Portfolio Name 1",Q27))</formula>
    </cfRule>
    <cfRule type="cellIs" dxfId="25" priority="22" operator="equal">
      <formula>"Electricity Portfolio Name 1"</formula>
    </cfRule>
  </conditionalFormatting>
  <conditionalFormatting sqref="Q27:V27">
    <cfRule type="containsText" dxfId="24" priority="1" operator="containsText" text="Column">
      <formula>NOT(ISERROR(SEARCH("Column",Q27)))</formula>
    </cfRule>
  </conditionalFormatting>
  <conditionalFormatting sqref="Q25:W25">
    <cfRule type="cellIs" dxfId="23" priority="23" operator="lessThanOrEqual">
      <formula>0</formula>
    </cfRule>
  </conditionalFormatting>
  <conditionalFormatting sqref="R27">
    <cfRule type="notContainsText" dxfId="22" priority="13" operator="notContains" text="Electricity Portfolio Name 2">
      <formula>ISERROR(SEARCH("Electricity Portfolio Name 2",R27))</formula>
    </cfRule>
    <cfRule type="containsBlanks" dxfId="21" priority="14">
      <formula>LEN(TRIM(R27))=0</formula>
    </cfRule>
    <cfRule type="cellIs" dxfId="20" priority="21" operator="equal">
      <formula>"Electricity Portfolio Name 2"</formula>
    </cfRule>
  </conditionalFormatting>
  <conditionalFormatting sqref="S27">
    <cfRule type="notContainsText" dxfId="19" priority="11" operator="notContains" text="Electricity Portfolio Name 3">
      <formula>ISERROR(SEARCH("Electricity Portfolio Name 3",S27))</formula>
    </cfRule>
    <cfRule type="containsBlanks" dxfId="18" priority="12">
      <formula>LEN(TRIM(S27))=0</formula>
    </cfRule>
    <cfRule type="cellIs" dxfId="17" priority="20" operator="equal">
      <formula>"Electricity Portfolio Name 3"</formula>
    </cfRule>
  </conditionalFormatting>
  <conditionalFormatting sqref="T27">
    <cfRule type="notContainsText" dxfId="16" priority="9" operator="notContains" text="Electricity Portfolio Name 4">
      <formula>ISERROR(SEARCH("Electricity Portfolio Name 4",T27))</formula>
    </cfRule>
    <cfRule type="containsBlanks" dxfId="15" priority="10">
      <formula>LEN(TRIM(T27))=0</formula>
    </cfRule>
    <cfRule type="cellIs" dxfId="14" priority="19" operator="equal">
      <formula>"Electricity Portfolio Name 4"</formula>
    </cfRule>
  </conditionalFormatting>
  <conditionalFormatting sqref="U27">
    <cfRule type="notContainsText" dxfId="13" priority="7" operator="notContains" text="Electricity Portfolio Name 5">
      <formula>ISERROR(SEARCH("Electricity Portfolio Name 5",U27))</formula>
    </cfRule>
    <cfRule type="containsBlanks" dxfId="12" priority="8">
      <formula>LEN(TRIM(U27))=0</formula>
    </cfRule>
    <cfRule type="cellIs" dxfId="11" priority="18" operator="equal">
      <formula>"Electricity Portfolio Name 5"</formula>
    </cfRule>
  </conditionalFormatting>
  <conditionalFormatting sqref="V27">
    <cfRule type="notContainsText" dxfId="10" priority="5" operator="notContains" text="Electricity Portfolio Name 6">
      <formula>ISERROR(SEARCH("Electricity Portfolio Name 6",V27))</formula>
    </cfRule>
    <cfRule type="containsBlanks" dxfId="9" priority="6">
      <formula>LEN(TRIM(V27))=0</formula>
    </cfRule>
    <cfRule type="cellIs" dxfId="8" priority="17" operator="equal">
      <formula>"Electricity Portfolio Name 6"</formula>
    </cfRule>
  </conditionalFormatting>
  <conditionalFormatting sqref="X25 Q26:X26">
    <cfRule type="cellIs" dxfId="7" priority="44" operator="lessThan">
      <formula>0</formula>
    </cfRule>
  </conditionalFormatting>
  <conditionalFormatting sqref="AB23">
    <cfRule type="cellIs" dxfId="6" priority="41" operator="equal">
      <formula>"Too much allocated"</formula>
    </cfRule>
  </conditionalFormatting>
  <conditionalFormatting sqref="AB23:AB26">
    <cfRule type="cellIs" dxfId="5" priority="3" operator="equal">
      <formula>"COMPLETE"</formula>
    </cfRule>
  </conditionalFormatting>
  <conditionalFormatting sqref="AB24">
    <cfRule type="cellIs" dxfId="4" priority="40" operator="equal">
      <formula>"Some specified resources have not been allocated"</formula>
    </cfRule>
  </conditionalFormatting>
  <conditionalFormatting sqref="AB25">
    <cfRule type="cellIs" dxfId="3" priority="39" operator="equal">
      <formula>"Allocate Coal"</formula>
    </cfRule>
  </conditionalFormatting>
  <conditionalFormatting sqref="AB26">
    <cfRule type="cellIs" dxfId="2" priority="38" operator="equal">
      <formula>"Oversupply Negative"</formula>
    </cfRule>
  </conditionalFormatting>
  <pageMargins left="0.7" right="0.7" top="0.75" bottom="0.75" header="0.3" footer="0.3"/>
  <tableParts count="2">
    <tablePart r:id="rId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8C1113AA-E361-430B-BD66-AC778508A3C8}">
          <x14:formula1>
            <xm:f>'Background (to be hidden)'!$D$6:$D$7</xm:f>
          </x14:formula1>
          <xm:sqref>L33</xm:sqref>
        </x14:dataValidation>
        <x14:dataValidation type="list" allowBlank="1" showInputMessage="1" showErrorMessage="1" xr:uid="{ADE8F77D-1C9A-4645-A202-9B6A0D3619BA}">
          <x14:formula1>
            <xm:f>'Background (to be hidden)'!$A$2</xm:f>
          </x14:formula1>
          <xm:sqref>K28:L601</xm:sqref>
        </x14:dataValidation>
        <x14:dataValidation type="list" allowBlank="1" showInputMessage="1" showErrorMessage="1" xr:uid="{CB74DFA2-8600-437A-B769-100D3B942EB3}">
          <x14:formula1>
            <xm:f>'Background (to be hidden)'!$C$2:$C$15</xm:f>
          </x14:formula1>
          <xm:sqref>B28:B601</xm:sqref>
        </x14:dataValidation>
        <x14:dataValidation type="list" allowBlank="1" showInputMessage="1" showErrorMessage="1" xr:uid="{5FC97910-8F4C-49F5-A8F8-178056FB7FCC}">
          <x14:formula1>
            <xm:f>'Background (to be hidden)'!$B$2</xm:f>
          </x14:formula1>
          <xm:sqref>M28:M601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A97FD-5822-47B9-AC77-F761CC2D6A49}">
  <dimension ref="A1:H23"/>
  <sheetViews>
    <sheetView zoomScale="115" zoomScaleNormal="115" workbookViewId="0"/>
  </sheetViews>
  <sheetFormatPr defaultRowHeight="15"/>
  <cols>
    <col min="1" max="1" width="55.85546875" customWidth="1"/>
    <col min="2" max="2" width="24.7109375" customWidth="1"/>
    <col min="3" max="3" width="21.5703125" customWidth="1"/>
    <col min="4" max="4" width="20.28515625" customWidth="1"/>
    <col min="5" max="5" width="23.7109375" customWidth="1"/>
    <col min="6" max="6" width="22.42578125" customWidth="1"/>
    <col min="7" max="7" width="26.5703125" customWidth="1"/>
    <col min="8" max="8" width="18" customWidth="1"/>
  </cols>
  <sheetData>
    <row r="1" spans="1:8" ht="26.25">
      <c r="A1" s="251" t="s">
        <v>85</v>
      </c>
      <c r="B1" s="252"/>
      <c r="C1" s="252"/>
      <c r="D1" s="252"/>
      <c r="E1" s="252"/>
      <c r="F1" s="252"/>
      <c r="G1" s="252"/>
      <c r="H1" s="253"/>
    </row>
    <row r="2" spans="1:8" ht="31.5">
      <c r="A2" s="256" t="s">
        <v>86</v>
      </c>
      <c r="B2" s="257" t="str">
        <f>'Annual Data'!Q27</f>
        <v>Deep Green</v>
      </c>
      <c r="C2" s="257" t="str">
        <f>'Annual Data'!R27</f>
        <v>LocalSol</v>
      </c>
      <c r="D2" s="257" t="str">
        <f>'Annual Data'!S27</f>
        <v>LightGreen</v>
      </c>
      <c r="E2" s="257" t="str">
        <f>'Annual Data'!T27</f>
        <v>GreenAccess</v>
      </c>
      <c r="F2" s="257" t="str">
        <f>'Annual Data'!U27</f>
        <v>Electricity Portfolio Name 5</v>
      </c>
      <c r="G2" s="257" t="str">
        <f>'Annual Data'!V27</f>
        <v>Electricity Portfolio Name 6</v>
      </c>
      <c r="H2" s="258" t="s">
        <v>87</v>
      </c>
    </row>
    <row r="3" spans="1:8" ht="15.75">
      <c r="A3" s="254" t="s">
        <v>88</v>
      </c>
      <c r="B3" s="255">
        <f>'Annual Data'!Q25</f>
        <v>465344.26187000098</v>
      </c>
      <c r="C3" s="255">
        <f>'Annual Data'!R25</f>
        <v>2123.2023100000001</v>
      </c>
      <c r="D3" s="255">
        <f>'Annual Data'!S25</f>
        <v>4810857.0455299998</v>
      </c>
      <c r="E3" s="255">
        <f>'Annual Data'!T25</f>
        <v>26942.490290000002</v>
      </c>
      <c r="F3" s="255">
        <f>'Annual Data'!U25</f>
        <v>0</v>
      </c>
      <c r="G3" s="255">
        <f>'Annual Data'!V25</f>
        <v>0</v>
      </c>
      <c r="H3" s="174">
        <f>SUM('Annual Data'!Q25:'Annual Data'!W25)+'Annual Data'!X3</f>
        <v>5561551.0000000009</v>
      </c>
    </row>
    <row r="4" spans="1:8" ht="18.75">
      <c r="A4" s="169" t="s">
        <v>89</v>
      </c>
      <c r="B4" s="107">
        <f>'Annual Data'!Q23*2204.62</f>
        <v>0</v>
      </c>
      <c r="C4" s="107">
        <f>'Annual Data'!R23*2204.62</f>
        <v>0</v>
      </c>
      <c r="D4" s="107">
        <f>'Annual Data'!S23*2204.62</f>
        <v>2.2927569451947498</v>
      </c>
      <c r="E4" s="107">
        <f>'Annual Data'!T23*2204.62</f>
        <v>0</v>
      </c>
      <c r="F4" s="107" t="e">
        <f>'Annual Data'!U23*2204.62</f>
        <v>#DIV/0!</v>
      </c>
      <c r="G4" s="107" t="e">
        <f>'Annual Data'!V23*2204.62</f>
        <v>#DIV/0!</v>
      </c>
      <c r="H4" s="175">
        <f>(SUM('Annual Data'!Q22:'Annual Data'!X22)/H3)*2204.62</f>
        <v>1.983282343986057</v>
      </c>
    </row>
    <row r="5" spans="1:8" ht="18">
      <c r="A5" s="215" t="s">
        <v>90</v>
      </c>
      <c r="B5" s="216">
        <f>SUM('Annual Data'!Q5:'Annual Data'!Q11)/$B$3</f>
        <v>1</v>
      </c>
      <c r="C5" s="216">
        <f>SUM('Annual Data'!R5:'Annual Data'!R11)/$C$3</f>
        <v>1</v>
      </c>
      <c r="D5" s="216">
        <f>SUM('Annual Data'!S5:'Annual Data'!S11)/$D$3</f>
        <v>1</v>
      </c>
      <c r="E5" s="216">
        <f>SUM('Annual Data'!T5:'Annual Data'!T11)/$E$3</f>
        <v>1</v>
      </c>
      <c r="F5" s="216" t="e">
        <f>SUM('Annual Data'!U5:'Annual Data'!U11)/$F$3</f>
        <v>#DIV/0!</v>
      </c>
      <c r="G5" s="216" t="e">
        <f>SUM('Annual Data'!V5:'Annual Data'!V11)/$G$3</f>
        <v>#DIV/0!</v>
      </c>
      <c r="H5" s="217">
        <f>SUM('Annual Data'!Q5:'Annual Data'!X11)/$H$3</f>
        <v>1</v>
      </c>
    </row>
    <row r="6" spans="1:8" ht="18">
      <c r="A6" s="218" t="s">
        <v>91</v>
      </c>
      <c r="B6" s="219">
        <f>1-B5</f>
        <v>0</v>
      </c>
      <c r="C6" s="219">
        <f t="shared" ref="C6:H6" si="0">1-C5</f>
        <v>0</v>
      </c>
      <c r="D6" s="219">
        <f t="shared" si="0"/>
        <v>0</v>
      </c>
      <c r="E6" s="219">
        <f t="shared" si="0"/>
        <v>0</v>
      </c>
      <c r="F6" s="219" t="e">
        <f t="shared" si="0"/>
        <v>#DIV/0!</v>
      </c>
      <c r="G6" s="219" t="e">
        <f t="shared" si="0"/>
        <v>#DIV/0!</v>
      </c>
      <c r="H6" s="220">
        <f t="shared" si="0"/>
        <v>0</v>
      </c>
    </row>
    <row r="7" spans="1:8" ht="15.75">
      <c r="A7" s="170" t="s">
        <v>26</v>
      </c>
      <c r="B7" s="108">
        <f>'Annual Data'!Q5/'Annual Data'!$Q$3</f>
        <v>0</v>
      </c>
      <c r="C7" s="108">
        <f>'Annual Data'!R5/'Annual Data'!$R$3</f>
        <v>0</v>
      </c>
      <c r="D7" s="108">
        <f>'Annual Data'!S5/'Annual Data'!$S$3</f>
        <v>3.7217692877896488E-2</v>
      </c>
      <c r="E7" s="108">
        <f>'Annual Data'!T5/'Annual Data'!$T$3</f>
        <v>0</v>
      </c>
      <c r="F7" s="108" t="e">
        <f>'Annual Data'!U5/'Annual Data'!$U$3</f>
        <v>#DIV/0!</v>
      </c>
      <c r="G7" s="108" t="e">
        <f>'Annual Data'!V5/'Annual Data'!$V$3</f>
        <v>#DIV/0!</v>
      </c>
      <c r="H7" s="176" cm="1">
        <f t="array" ref="H7">SUM('Annual Data'!Q5:'Annual Data'!X5/$H$3)</f>
        <v>3.2194076796203071E-2</v>
      </c>
    </row>
    <row r="8" spans="1:8" ht="15.75">
      <c r="A8" s="170" t="s">
        <v>27</v>
      </c>
      <c r="B8" s="108">
        <f>'Annual Data'!Q6/'Annual Data'!$Q$3</f>
        <v>0</v>
      </c>
      <c r="C8" s="108">
        <f>'Annual Data'!R6/'Annual Data'!$R$3</f>
        <v>0</v>
      </c>
      <c r="D8" s="108">
        <f>'Annual Data'!S6/'Annual Data'!$S$3</f>
        <v>2.2712169363153994E-2</v>
      </c>
      <c r="E8" s="108">
        <f>'Annual Data'!T6/'Annual Data'!$T$3</f>
        <v>0</v>
      </c>
      <c r="F8" s="108" t="e">
        <f>'Annual Data'!U6/'Annual Data'!$U$3</f>
        <v>#DIV/0!</v>
      </c>
      <c r="G8" s="108" t="e">
        <f>'Annual Data'!V6/'Annual Data'!$V$3</f>
        <v>#DIV/0!</v>
      </c>
      <c r="H8" s="176" cm="1">
        <f t="array" ref="H8">SUM('Annual Data'!Q6:'Annual Data'!X6/$H$3)</f>
        <v>1.9646497892404472E-2</v>
      </c>
    </row>
    <row r="9" spans="1:8" ht="15.75">
      <c r="A9" s="170" t="s">
        <v>28</v>
      </c>
      <c r="B9" s="108">
        <f>'Annual Data'!Q7/'Annual Data'!$Q$3</f>
        <v>0</v>
      </c>
      <c r="C9" s="108">
        <f>'Annual Data'!R7/'Annual Data'!$R$3</f>
        <v>0</v>
      </c>
      <c r="D9" s="108">
        <f>'Annual Data'!S7/'Annual Data'!$S$3</f>
        <v>5.8079672157295995E-2</v>
      </c>
      <c r="E9" s="108">
        <f>'Annual Data'!T7/'Annual Data'!$T$3</f>
        <v>0</v>
      </c>
      <c r="F9" s="108" t="e">
        <f>'Annual Data'!U7/'Annual Data'!$U$3</f>
        <v>#DIV/0!</v>
      </c>
      <c r="G9" s="108" t="e">
        <f>'Annual Data'!V7/'Annual Data'!$V$3</f>
        <v>#DIV/0!</v>
      </c>
      <c r="H9" s="176" cm="1">
        <f t="array" ref="H9">SUM('Annual Data'!Q7:'Annual Data'!X7/$H$3)</f>
        <v>5.0240121865285411E-2</v>
      </c>
    </row>
    <row r="10" spans="1:8" ht="15.75">
      <c r="A10" s="170" t="s">
        <v>29</v>
      </c>
      <c r="B10" s="108">
        <f>'Annual Data'!Q8/'Annual Data'!$Q$3</f>
        <v>0.50000028137233277</v>
      </c>
      <c r="C10" s="108">
        <f>'Annual Data'!R8/'Annual Data'!$R$3</f>
        <v>1</v>
      </c>
      <c r="D10" s="108">
        <f>'Annual Data'!S8/'Annual Data'!$S$3</f>
        <v>0.41849903800419302</v>
      </c>
      <c r="E10" s="108">
        <f>'Annual Data'!T8/'Annual Data'!$T$3</f>
        <v>1</v>
      </c>
      <c r="F10" s="108" t="e">
        <f>'Annual Data'!U8/'Annual Data'!$U$3</f>
        <v>#DIV/0!</v>
      </c>
      <c r="G10" s="108" t="e">
        <f>'Annual Data'!V8/'Annual Data'!$V$3</f>
        <v>#DIV/0!</v>
      </c>
      <c r="H10" s="176" cm="1">
        <f t="array" ref="H10">SUM('Annual Data'!Q8:'Annual Data'!X8/$H$3)</f>
        <v>0.40907239725033528</v>
      </c>
    </row>
    <row r="11" spans="1:8" ht="15.75">
      <c r="A11" s="170" t="s">
        <v>30</v>
      </c>
      <c r="B11" s="108">
        <f>'Annual Data'!Q9/'Annual Data'!$Q$3</f>
        <v>0.49999971862766729</v>
      </c>
      <c r="C11" s="108">
        <f>'Annual Data'!R9/'Annual Data'!$R$3</f>
        <v>0</v>
      </c>
      <c r="D11" s="108">
        <f>'Annual Data'!S9/'Annual Data'!$S$3</f>
        <v>0.21117443116376733</v>
      </c>
      <c r="E11" s="108">
        <f>'Annual Data'!T9/'Annual Data'!$T$3</f>
        <v>0</v>
      </c>
      <c r="F11" s="108" t="e">
        <f>'Annual Data'!U9/'Annual Data'!$U$3</f>
        <v>#DIV/0!</v>
      </c>
      <c r="G11" s="108" t="e">
        <f>'Annual Data'!V9/'Annual Data'!$V$3</f>
        <v>#DIV/0!</v>
      </c>
      <c r="H11" s="176" cm="1">
        <f t="array" ref="H11">SUM('Annual Data'!Q9:'Annual Data'!X9/$H$3)</f>
        <v>0.22450607753124979</v>
      </c>
    </row>
    <row r="12" spans="1:8" ht="15.75">
      <c r="A12" s="171" t="s">
        <v>92</v>
      </c>
      <c r="B12" s="109">
        <f>SUM(B7:B11)</f>
        <v>1</v>
      </c>
      <c r="C12" s="109">
        <f t="shared" ref="C12:H12" si="1">SUM(C7:C11)</f>
        <v>1</v>
      </c>
      <c r="D12" s="109">
        <f t="shared" si="1"/>
        <v>0.74768300356630679</v>
      </c>
      <c r="E12" s="109">
        <f t="shared" si="1"/>
        <v>1</v>
      </c>
      <c r="F12" s="109" t="e">
        <f t="shared" si="1"/>
        <v>#DIV/0!</v>
      </c>
      <c r="G12" s="109" t="e">
        <f t="shared" si="1"/>
        <v>#DIV/0!</v>
      </c>
      <c r="H12" s="177">
        <f t="shared" si="1"/>
        <v>0.73565917133547809</v>
      </c>
    </row>
    <row r="13" spans="1:8" ht="15.75">
      <c r="A13" s="171" t="s">
        <v>31</v>
      </c>
      <c r="B13" s="109">
        <f>'Annual Data'!$Q10/'Annual Data'!$Q$3</f>
        <v>0</v>
      </c>
      <c r="C13" s="109">
        <f>'Annual Data'!$R10/'Annual Data'!$R$3</f>
        <v>0</v>
      </c>
      <c r="D13" s="109">
        <f>'Annual Data'!$S10/'Annual Data'!$S$3</f>
        <v>0.25231699643369326</v>
      </c>
      <c r="E13" s="109">
        <f>'Annual Data'!$T10/'Annual Data'!$T$3</f>
        <v>0</v>
      </c>
      <c r="F13" s="109" t="e">
        <f>'Annual Data'!$U10/'Annual Data'!$U$3</f>
        <v>#DIV/0!</v>
      </c>
      <c r="G13" s="109" t="e">
        <f>'Annual Data'!$V10/'Annual Data'!$V$3</f>
        <v>#DIV/0!</v>
      </c>
      <c r="H13" s="177">
        <f>SUM('Annual Data'!Q10:'Annual Data'!X10)/$H$3</f>
        <v>0.21825943877885881</v>
      </c>
    </row>
    <row r="14" spans="1:8" ht="15.75">
      <c r="A14" s="171" t="s">
        <v>32</v>
      </c>
      <c r="B14" s="109">
        <f>'Annual Data'!$Q11/'Annual Data'!$Q$3</f>
        <v>0</v>
      </c>
      <c r="C14" s="109">
        <f>'Annual Data'!$R11/'Annual Data'!$R$3</f>
        <v>0</v>
      </c>
      <c r="D14" s="109">
        <f>'Annual Data'!$S11/'Annual Data'!$S$3</f>
        <v>0</v>
      </c>
      <c r="E14" s="109">
        <f>'Annual Data'!$T11/'Annual Data'!$T$3</f>
        <v>0</v>
      </c>
      <c r="F14" s="109" t="e">
        <f>'Annual Data'!$U11/'Annual Data'!$U$3</f>
        <v>#DIV/0!</v>
      </c>
      <c r="G14" s="109" t="e">
        <f>'Annual Data'!$V11/'Annual Data'!$V$3</f>
        <v>#DIV/0!</v>
      </c>
      <c r="H14" s="177">
        <f>SUM('Annual Data'!Q11:'Annual Data'!X11)/$H$3</f>
        <v>4.6081389885663182E-2</v>
      </c>
    </row>
    <row r="15" spans="1:8" ht="15.75">
      <c r="A15" s="172" t="s">
        <v>33</v>
      </c>
      <c r="B15" s="109">
        <f>'Annual Data'!$Q12/'Annual Data'!$Q$3</f>
        <v>0</v>
      </c>
      <c r="C15" s="109">
        <f>'Annual Data'!$R12/'Annual Data'!$R$3</f>
        <v>0</v>
      </c>
      <c r="D15" s="109">
        <f>'Annual Data'!$S12/'Annual Data'!$S$3</f>
        <v>0</v>
      </c>
      <c r="E15" s="109">
        <f>'Annual Data'!$T12/'Annual Data'!$T$3</f>
        <v>0</v>
      </c>
      <c r="F15" s="109" t="e">
        <f>'Annual Data'!$U12/'Annual Data'!$U$3</f>
        <v>#DIV/0!</v>
      </c>
      <c r="G15" s="109" t="e">
        <f>'Annual Data'!$V12/'Annual Data'!$V$3</f>
        <v>#DIV/0!</v>
      </c>
      <c r="H15" s="177">
        <f>SUM('Annual Data'!Q12:'Annual Data'!X12)/$H$3</f>
        <v>0</v>
      </c>
    </row>
    <row r="16" spans="1:8" ht="15.75">
      <c r="A16" s="172" t="s">
        <v>34</v>
      </c>
      <c r="B16" s="109">
        <f>'Annual Data'!$Q13/'Annual Data'!$Q$3</f>
        <v>0</v>
      </c>
      <c r="C16" s="109">
        <f>'Annual Data'!$R13/'Annual Data'!$R$3</f>
        <v>0</v>
      </c>
      <c r="D16" s="109">
        <f>'Annual Data'!$S13/'Annual Data'!$S$3</f>
        <v>0</v>
      </c>
      <c r="E16" s="109">
        <f>'Annual Data'!$T13/'Annual Data'!$T$3</f>
        <v>0</v>
      </c>
      <c r="F16" s="109" t="e">
        <f>'Annual Data'!$U13/'Annual Data'!$U$3</f>
        <v>#DIV/0!</v>
      </c>
      <c r="G16" s="109" t="e">
        <f>'Annual Data'!$V13/'Annual Data'!$V$3</f>
        <v>#DIV/0!</v>
      </c>
      <c r="H16" s="177">
        <f>SUM('Annual Data'!Q13:'Annual Data'!X13)/$H$3</f>
        <v>0</v>
      </c>
    </row>
    <row r="17" spans="1:8" ht="15.75">
      <c r="A17" s="173" t="s">
        <v>35</v>
      </c>
      <c r="B17" s="109">
        <f>'Annual Data'!$Q14/'Annual Data'!$Q$3</f>
        <v>0</v>
      </c>
      <c r="C17" s="109">
        <f>'Annual Data'!$R14/'Annual Data'!$R$3</f>
        <v>0</v>
      </c>
      <c r="D17" s="109">
        <f>'Annual Data'!$S14/'Annual Data'!$S$3</f>
        <v>0</v>
      </c>
      <c r="E17" s="109">
        <f>'Annual Data'!$T14/'Annual Data'!$T$3</f>
        <v>0</v>
      </c>
      <c r="F17" s="109" t="e">
        <f>'Annual Data'!$U14/'Annual Data'!$U$3</f>
        <v>#DIV/0!</v>
      </c>
      <c r="G17" s="109" t="e">
        <f>'Annual Data'!$V14/'Annual Data'!$V$3</f>
        <v>#DIV/0!</v>
      </c>
      <c r="H17" s="177">
        <f>SUM('Annual Data'!Q14:'Annual Data'!X14)/$H$3</f>
        <v>0</v>
      </c>
    </row>
    <row r="18" spans="1:8" ht="15.75">
      <c r="A18" s="173" t="s">
        <v>36</v>
      </c>
      <c r="B18" s="109">
        <f>'Annual Data'!$Q15/'Annual Data'!$Q$3</f>
        <v>0</v>
      </c>
      <c r="C18" s="109">
        <f>'Annual Data'!$R15/'Annual Data'!$R$3</f>
        <v>0</v>
      </c>
      <c r="D18" s="109">
        <f>'Annual Data'!$S15/'Annual Data'!$S$3</f>
        <v>0</v>
      </c>
      <c r="E18" s="109">
        <f>'Annual Data'!$T15/'Annual Data'!$T$3</f>
        <v>0</v>
      </c>
      <c r="F18" s="109" t="e">
        <f>'Annual Data'!$U15/'Annual Data'!$U$3</f>
        <v>#DIV/0!</v>
      </c>
      <c r="G18" s="109" t="e">
        <f>'Annual Data'!$V15/'Annual Data'!$V$3</f>
        <v>#DIV/0!</v>
      </c>
      <c r="H18" s="177">
        <f>SUM('Annual Data'!Q15:'Annual Data'!X15)/$H$3</f>
        <v>0</v>
      </c>
    </row>
    <row r="19" spans="1:8" ht="15.75">
      <c r="A19" s="173" t="s">
        <v>40</v>
      </c>
      <c r="B19" s="109">
        <f>'Annual Data'!$Q19/'Annual Data'!$Q$3</f>
        <v>0</v>
      </c>
      <c r="C19" s="109">
        <f>'Annual Data'!$R19/'Annual Data'!$R$3</f>
        <v>0</v>
      </c>
      <c r="D19" s="109">
        <f>'Annual Data'!$S19/'Annual Data'!$S$3</f>
        <v>0</v>
      </c>
      <c r="E19" s="109">
        <f>'Annual Data'!$T19/'Annual Data'!$T$3</f>
        <v>0</v>
      </c>
      <c r="F19" s="109" t="e">
        <f>'Annual Data'!$U19/'Annual Data'!$U$3</f>
        <v>#DIV/0!</v>
      </c>
      <c r="G19" s="109" t="e">
        <f>'Annual Data'!$V19/'Annual Data'!$V$3</f>
        <v>#DIV/0!</v>
      </c>
      <c r="H19" s="177">
        <f>SUM('Annual Data'!Q19:'Annual Data'!X19)/$H$3</f>
        <v>0</v>
      </c>
    </row>
    <row r="20" spans="1:8" ht="19.5" customHeight="1">
      <c r="A20" s="178" t="s">
        <v>93</v>
      </c>
      <c r="B20" s="179">
        <f>'Unbundled REC Worksheet'!$B5/'2025 PCL Data'!B3</f>
        <v>0</v>
      </c>
      <c r="C20" s="179">
        <f>'Unbundled REC Worksheet'!$B6/'2025 PCL Data'!C3</f>
        <v>0</v>
      </c>
      <c r="D20" s="179">
        <f>'Unbundled REC Worksheet'!$B7/'2025 PCL Data'!D3</f>
        <v>0</v>
      </c>
      <c r="E20" s="179">
        <f>'Unbundled REC Worksheet'!$B8/'2025 PCL Data'!E3</f>
        <v>0</v>
      </c>
      <c r="F20" s="179" t="e">
        <f>'Unbundled REC Worksheet'!$B9/'2025 PCL Data'!F3</f>
        <v>#DIV/0!</v>
      </c>
      <c r="G20" s="179" t="e">
        <f>'Unbundled REC Worksheet'!$B10/'2025 PCL Data'!G3</f>
        <v>#DIV/0!</v>
      </c>
      <c r="H20" s="180" t="s">
        <v>47</v>
      </c>
    </row>
    <row r="21" spans="1:8" ht="15.75">
      <c r="A21" s="35" t="s">
        <v>94</v>
      </c>
      <c r="B21" s="35"/>
      <c r="C21" s="35"/>
      <c r="D21" s="35"/>
      <c r="E21" s="35"/>
      <c r="F21" s="35"/>
      <c r="G21" s="35"/>
      <c r="H21" s="35"/>
    </row>
    <row r="22" spans="1:8" ht="15.75">
      <c r="A22" s="35" t="s">
        <v>95</v>
      </c>
      <c r="B22" s="35"/>
      <c r="C22" s="35"/>
      <c r="D22" s="35"/>
      <c r="E22" s="35"/>
      <c r="F22" s="35"/>
      <c r="G22" s="35"/>
      <c r="H22" s="35"/>
    </row>
    <row r="23" spans="1:8" ht="15.75">
      <c r="A23" s="35"/>
    </row>
  </sheetData>
  <sheetProtection algorithmName="SHA-512" hashValue="Q0tRzUt83TWk9pzWGepbYhG8Bcih0xtQWewdl+f3RpHMECvQNnnEbJShE9kUVNKEgukDRPGgyvfMZf3x+bu6IA==" saltValue="U70BsJvexG4QpTJDTy3I4w==" spinCount="100000" sheet="1" objects="1" scenarios="1"/>
  <conditionalFormatting sqref="B3:G3">
    <cfRule type="cellIs" dxfId="1" priority="7" operator="equal">
      <formula>0</formula>
    </cfRule>
  </conditionalFormatting>
  <conditionalFormatting sqref="H3:H4">
    <cfRule type="cellIs" dxfId="0" priority="5" operator="equal">
      <formula>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0377-6235-4A6C-9763-E4965F79A600}">
  <dimension ref="A1:L2"/>
  <sheetViews>
    <sheetView workbookViewId="0">
      <selection activeCell="B2" sqref="B2"/>
    </sheetView>
  </sheetViews>
  <sheetFormatPr defaultColWidth="8.85546875" defaultRowHeight="14.25" customHeight="1"/>
  <cols>
    <col min="1" max="1" width="19.28515625" style="12" customWidth="1"/>
    <col min="2" max="2" width="17.28515625" style="12" customWidth="1"/>
    <col min="3" max="3" width="19.5703125" style="12" customWidth="1"/>
    <col min="4" max="4" width="21" style="12" customWidth="1"/>
    <col min="5" max="5" width="25.42578125" style="12" customWidth="1"/>
    <col min="6" max="6" width="16.42578125" style="12" customWidth="1"/>
    <col min="7" max="7" width="16" style="12" customWidth="1"/>
    <col min="8" max="8" width="20.85546875" style="12" customWidth="1"/>
    <col min="9" max="11" width="24.42578125" style="12" customWidth="1"/>
    <col min="12" max="12" width="20.42578125" style="12" customWidth="1"/>
    <col min="13" max="16384" width="8.85546875" style="12"/>
  </cols>
  <sheetData>
    <row r="1" spans="1:12" s="33" customFormat="1" ht="36.6" customHeight="1">
      <c r="A1" s="28" t="s">
        <v>96</v>
      </c>
      <c r="B1" s="28" t="s">
        <v>97</v>
      </c>
      <c r="C1" s="28" t="s">
        <v>98</v>
      </c>
      <c r="D1" s="28" t="s">
        <v>39</v>
      </c>
      <c r="E1" s="29" t="s">
        <v>99</v>
      </c>
      <c r="F1" s="30" t="s">
        <v>100</v>
      </c>
      <c r="G1" s="30" t="s">
        <v>101</v>
      </c>
      <c r="H1" s="31" t="s">
        <v>102</v>
      </c>
      <c r="I1" s="32" t="s">
        <v>103</v>
      </c>
      <c r="J1" s="32" t="s">
        <v>104</v>
      </c>
      <c r="K1" s="77" t="s">
        <v>105</v>
      </c>
      <c r="L1" s="28" t="s">
        <v>56</v>
      </c>
    </row>
    <row r="2" spans="1:12">
      <c r="A2" s="12" t="e">
        <f>'PSD Intro'!#REF!</f>
        <v>#REF!</v>
      </c>
      <c r="B2" s="13">
        <f>SUM('Annual Data'!Q25:X25)</f>
        <v>5561551.0000000009</v>
      </c>
      <c r="C2" s="12">
        <f>SUM('Annual Data'!J28:J597)</f>
        <v>6543880.6614999194</v>
      </c>
      <c r="D2" s="13">
        <f>SUM('Annual Data'!P21:AM21)</f>
        <v>5003.1869000000006</v>
      </c>
      <c r="E2" s="12">
        <f>SUM(F2:G2)</f>
        <v>6401687.1428147322</v>
      </c>
      <c r="F2" s="12">
        <f>SUMIF(('Annual Data'!B28:B597),"Biomass &amp; Biogas",('Annual Data'!J28:J597))+SUMIF(('Annual Data'!B28:B597),"Geothermal",('Annual Data'!J28:J597))+SUMIF(('Annual Data'!B28:B597),"Eligible Hydroelectric",('Annual Data'!J28:J597))+SUMIF(('Annual Data'!B28:B597),"Solar",('Annual Data'!J28:J597))+SUMIF(('Annual Data'!B28:B597),"Wind",('Annual Data'!J28:J597))</f>
        <v>4091406</v>
      </c>
      <c r="G2" s="12">
        <f>SUMIF(('Annual Data'!B28:B597),"Large Hydroelectric",('Annual Data'!J28:J597))+SUMIF(('Annual Data'!B28:B597),"Nuclear",('Annual Data'!J28:J597))</f>
        <v>2310281.1428147322</v>
      </c>
      <c r="H2" s="12">
        <f>SUM(I2:J2)</f>
        <v>0</v>
      </c>
      <c r="I2" s="12">
        <f>SUMIF(('Annual Data'!B28:B597),"Natural Gas",('Annual Data'!J28:J597))</f>
        <v>0</v>
      </c>
      <c r="J2" s="12">
        <f>SUMIF(('Annual Data'!B28:B597),"Coal",('Annual Data'!J28:J597))+SUMIF(('Annual Data'!B28:B597),"Petroleum",('Annual Data'!J28:J597))</f>
        <v>0</v>
      </c>
      <c r="K2" s="12">
        <f>SUMIF(('Annual Data'!B28:B597),"Other",('Annual Data'!J28:J597))+SUMIF(('Annual Data'!B28:B597),"Emerging Technologies",('Annual Data'!J28:J597))</f>
        <v>2827.9911441002641</v>
      </c>
      <c r="L2" s="12">
        <f>SUM('Annual Data'!AB28:AB597)</f>
        <v>982329.66149991867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ACA8-E17A-4200-8476-036DD6993F22}">
  <dimension ref="A1:J24"/>
  <sheetViews>
    <sheetView workbookViewId="0">
      <selection activeCell="D26" sqref="D26"/>
    </sheetView>
  </sheetViews>
  <sheetFormatPr defaultRowHeight="15"/>
  <cols>
    <col min="1" max="1" width="49" customWidth="1"/>
    <col min="2" max="2" width="20" bestFit="1" customWidth="1"/>
    <col min="3" max="3" width="18.28515625" bestFit="1" customWidth="1"/>
    <col min="4" max="4" width="18.7109375" customWidth="1"/>
    <col min="5" max="5" width="18.42578125" customWidth="1"/>
    <col min="6" max="6" width="15.85546875" customWidth="1"/>
    <col min="7" max="7" width="16.7109375" customWidth="1"/>
    <col min="8" max="8" width="17" customWidth="1"/>
    <col min="9" max="9" width="15.7109375" customWidth="1"/>
    <col min="10" max="10" width="10.85546875" customWidth="1"/>
  </cols>
  <sheetData>
    <row r="1" spans="1:10">
      <c r="A1" s="2" t="s">
        <v>106</v>
      </c>
    </row>
    <row r="2" spans="1:10" ht="60">
      <c r="A2" s="18" t="s">
        <v>86</v>
      </c>
      <c r="B2" s="27" t="str">
        <f>'Annual Data'!$Q$27</f>
        <v>Deep Green</v>
      </c>
      <c r="C2" s="27" t="str">
        <f>'Annual Data'!$R$27</f>
        <v>LocalSol</v>
      </c>
      <c r="D2" s="27" t="str">
        <f>'Annual Data'!$S$27</f>
        <v>LightGreen</v>
      </c>
      <c r="E2" s="27" t="str">
        <f>'Annual Data'!$T$27</f>
        <v>GreenAccess</v>
      </c>
      <c r="F2" s="27" t="str">
        <f>'Annual Data'!$U$27</f>
        <v>Electricity Portfolio Name 5</v>
      </c>
      <c r="G2" s="27" t="str">
        <f>'Annual Data'!$V$27</f>
        <v>Electricity Portfolio Name 6</v>
      </c>
      <c r="H2" s="27" t="str">
        <f>'Annual Data'!$W$27</f>
        <v>Other End Uses</v>
      </c>
      <c r="I2" s="26" t="str">
        <f>'Annual Data'!$X$27</f>
        <v>Specified Procurement Covering Losses</v>
      </c>
      <c r="J2" s="18" t="s">
        <v>107</v>
      </c>
    </row>
    <row r="3" spans="1:10" ht="15.75">
      <c r="A3" s="19" t="s">
        <v>108</v>
      </c>
      <c r="B3" s="20" t="e">
        <f>'Annual Data'!#REF!</f>
        <v>#REF!</v>
      </c>
      <c r="C3" s="20" t="e">
        <f>'Annual Data'!#REF!</f>
        <v>#REF!</v>
      </c>
      <c r="D3" s="20" t="e">
        <f>'Annual Data'!#REF!</f>
        <v>#REF!</v>
      </c>
      <c r="E3" s="20" t="e">
        <f>'Annual Data'!#REF!</f>
        <v>#REF!</v>
      </c>
      <c r="F3" s="20" t="e">
        <f>'Annual Data'!#REF!</f>
        <v>#REF!</v>
      </c>
      <c r="G3" s="20" t="e">
        <f>'Annual Data'!#REF!</f>
        <v>#REF!</v>
      </c>
      <c r="H3" s="20" t="e">
        <f>'Annual Data'!#REF!</f>
        <v>#REF!</v>
      </c>
      <c r="I3" s="20" t="e">
        <f>'Annual Data'!#REF!</f>
        <v>#REF!</v>
      </c>
      <c r="J3" s="19"/>
    </row>
    <row r="4" spans="1:10" ht="15.75">
      <c r="A4" s="4" t="s">
        <v>109</v>
      </c>
      <c r="B4" s="5" t="e">
        <f>'Annual Data'!#REF!</f>
        <v>#REF!</v>
      </c>
      <c r="C4" s="5" t="e">
        <f>'Annual Data'!#REF!</f>
        <v>#REF!</v>
      </c>
      <c r="D4" s="5" t="e">
        <f>'Annual Data'!#REF!</f>
        <v>#REF!</v>
      </c>
      <c r="E4" s="5" t="e">
        <f>'Annual Data'!#REF!</f>
        <v>#REF!</v>
      </c>
      <c r="F4" s="5" t="e">
        <f>'Annual Data'!#REF!</f>
        <v>#REF!</v>
      </c>
      <c r="G4" s="5" t="e">
        <f>'Annual Data'!#REF!</f>
        <v>#REF!</v>
      </c>
      <c r="H4" s="5" t="e">
        <f>'Annual Data'!#REF!</f>
        <v>#REF!</v>
      </c>
      <c r="I4" s="5" t="e">
        <f>'Annual Data'!#REF!</f>
        <v>#REF!</v>
      </c>
      <c r="J4" s="5"/>
    </row>
    <row r="5" spans="1:10" ht="15.75">
      <c r="A5" s="21" t="s">
        <v>27</v>
      </c>
      <c r="B5" s="22" t="e">
        <f>'Annual Data'!#REF!</f>
        <v>#REF!</v>
      </c>
      <c r="C5" s="22" t="e">
        <f>'Annual Data'!#REF!</f>
        <v>#REF!</v>
      </c>
      <c r="D5" s="22" t="e">
        <f>'Annual Data'!#REF!</f>
        <v>#REF!</v>
      </c>
      <c r="E5" s="22" t="e">
        <f>'Annual Data'!#REF!</f>
        <v>#REF!</v>
      </c>
      <c r="F5" s="22" t="e">
        <f>'Annual Data'!#REF!</f>
        <v>#REF!</v>
      </c>
      <c r="G5" s="22" t="e">
        <f>'Annual Data'!#REF!</f>
        <v>#REF!</v>
      </c>
      <c r="H5" s="22" t="e">
        <f>'Annual Data'!#REF!</f>
        <v>#REF!</v>
      </c>
      <c r="I5" s="22" t="e">
        <f>'Annual Data'!#REF!</f>
        <v>#REF!</v>
      </c>
      <c r="J5" s="22"/>
    </row>
    <row r="6" spans="1:10" ht="15.75">
      <c r="A6" s="4" t="s">
        <v>110</v>
      </c>
      <c r="B6" s="5" t="e">
        <f>'Annual Data'!#REF!</f>
        <v>#REF!</v>
      </c>
      <c r="C6" s="5" t="e">
        <f>'Annual Data'!#REF!</f>
        <v>#REF!</v>
      </c>
      <c r="D6" s="5" t="e">
        <f>'Annual Data'!#REF!</f>
        <v>#REF!</v>
      </c>
      <c r="E6" s="5" t="e">
        <f>'Annual Data'!#REF!</f>
        <v>#REF!</v>
      </c>
      <c r="F6" s="5" t="e">
        <f>'Annual Data'!#REF!</f>
        <v>#REF!</v>
      </c>
      <c r="G6" s="5" t="e">
        <f>'Annual Data'!#REF!</f>
        <v>#REF!</v>
      </c>
      <c r="H6" s="5" t="e">
        <f>'Annual Data'!#REF!</f>
        <v>#REF!</v>
      </c>
      <c r="I6" s="5" t="e">
        <f>'Annual Data'!#REF!</f>
        <v>#REF!</v>
      </c>
      <c r="J6" s="5"/>
    </row>
    <row r="7" spans="1:10" ht="15.75">
      <c r="A7" s="21" t="s">
        <v>29</v>
      </c>
      <c r="B7" s="22" t="e">
        <f>'Annual Data'!#REF!</f>
        <v>#REF!</v>
      </c>
      <c r="C7" s="22" t="e">
        <f>'Annual Data'!#REF!</f>
        <v>#REF!</v>
      </c>
      <c r="D7" s="22" t="e">
        <f>'Annual Data'!#REF!</f>
        <v>#REF!</v>
      </c>
      <c r="E7" s="22" t="e">
        <f>'Annual Data'!#REF!</f>
        <v>#REF!</v>
      </c>
      <c r="F7" s="22" t="e">
        <f>'Annual Data'!#REF!</f>
        <v>#REF!</v>
      </c>
      <c r="G7" s="22" t="e">
        <f>'Annual Data'!#REF!</f>
        <v>#REF!</v>
      </c>
      <c r="H7" s="22" t="e">
        <f>'Annual Data'!#REF!</f>
        <v>#REF!</v>
      </c>
      <c r="I7" s="22" t="e">
        <f>'Annual Data'!#REF!</f>
        <v>#REF!</v>
      </c>
      <c r="J7" s="22"/>
    </row>
    <row r="8" spans="1:10" ht="15.75">
      <c r="A8" s="4" t="s">
        <v>30</v>
      </c>
      <c r="B8" s="5" t="e">
        <f>'Annual Data'!#REF!</f>
        <v>#REF!</v>
      </c>
      <c r="C8" s="5" t="e">
        <f>'Annual Data'!#REF!</f>
        <v>#REF!</v>
      </c>
      <c r="D8" s="5" t="e">
        <f>'Annual Data'!#REF!</f>
        <v>#REF!</v>
      </c>
      <c r="E8" s="5" t="e">
        <f>'Annual Data'!#REF!</f>
        <v>#REF!</v>
      </c>
      <c r="F8" s="5" t="e">
        <f>'Annual Data'!#REF!</f>
        <v>#REF!</v>
      </c>
      <c r="G8" s="5" t="e">
        <f>'Annual Data'!#REF!</f>
        <v>#REF!</v>
      </c>
      <c r="H8" s="5" t="e">
        <f>'Annual Data'!#REF!</f>
        <v>#REF!</v>
      </c>
      <c r="I8" s="5" t="e">
        <f>'Annual Data'!#REF!</f>
        <v>#REF!</v>
      </c>
      <c r="J8" s="5"/>
    </row>
    <row r="9" spans="1:10" ht="15.75">
      <c r="A9" s="21" t="s">
        <v>111</v>
      </c>
      <c r="B9" s="22" t="e">
        <f>SUM(B4:B8)</f>
        <v>#REF!</v>
      </c>
      <c r="C9" s="22" t="e">
        <f t="shared" ref="C9" si="0">SUM(C4:C8)</f>
        <v>#REF!</v>
      </c>
      <c r="D9" s="22" t="e">
        <f>SUM(D4:D8)</f>
        <v>#REF!</v>
      </c>
      <c r="E9" s="22" t="e">
        <f>SUM(E4:E8)</f>
        <v>#REF!</v>
      </c>
      <c r="F9" s="22" t="e">
        <f>SUM(F4:F8)</f>
        <v>#REF!</v>
      </c>
      <c r="G9" s="22" t="e">
        <f t="shared" ref="G9:I9" si="1">SUM(G4:G8)</f>
        <v>#REF!</v>
      </c>
      <c r="H9" s="22" t="e">
        <f t="shared" si="1"/>
        <v>#REF!</v>
      </c>
      <c r="I9" s="22" t="e">
        <f t="shared" si="1"/>
        <v>#REF!</v>
      </c>
      <c r="J9" s="22"/>
    </row>
    <row r="10" spans="1:10" ht="15.75">
      <c r="A10" s="4" t="s">
        <v>31</v>
      </c>
      <c r="B10" s="5" t="e">
        <f>'Annual Data'!#REF!</f>
        <v>#REF!</v>
      </c>
      <c r="C10" s="5" t="e">
        <f>'Annual Data'!#REF!</f>
        <v>#REF!</v>
      </c>
      <c r="D10" s="5" t="e">
        <f>'Annual Data'!#REF!</f>
        <v>#REF!</v>
      </c>
      <c r="E10" s="5" t="e">
        <f>'Annual Data'!#REF!</f>
        <v>#REF!</v>
      </c>
      <c r="F10" s="5" t="e">
        <f>'Annual Data'!#REF!</f>
        <v>#REF!</v>
      </c>
      <c r="G10" s="5" t="e">
        <f>'Annual Data'!#REF!</f>
        <v>#REF!</v>
      </c>
      <c r="H10" s="5" t="e">
        <f>'Annual Data'!#REF!</f>
        <v>#REF!</v>
      </c>
      <c r="I10" s="5" t="e">
        <f>'Annual Data'!#REF!</f>
        <v>#REF!</v>
      </c>
      <c r="J10" s="5"/>
    </row>
    <row r="11" spans="1:10" ht="15.75">
      <c r="A11" s="21" t="s">
        <v>32</v>
      </c>
      <c r="B11" s="22" t="e">
        <f>'Annual Data'!#REF!</f>
        <v>#REF!</v>
      </c>
      <c r="C11" s="22" t="e">
        <f>'Annual Data'!#REF!</f>
        <v>#REF!</v>
      </c>
      <c r="D11" s="22" t="e">
        <f>'Annual Data'!#REF!</f>
        <v>#REF!</v>
      </c>
      <c r="E11" s="22" t="e">
        <f>'Annual Data'!#REF!</f>
        <v>#REF!</v>
      </c>
      <c r="F11" s="22" t="e">
        <f>'Annual Data'!#REF!</f>
        <v>#REF!</v>
      </c>
      <c r="G11" s="22" t="e">
        <f>'Annual Data'!#REF!</f>
        <v>#REF!</v>
      </c>
      <c r="H11" s="22" t="e">
        <f>'Annual Data'!#REF!</f>
        <v>#REF!</v>
      </c>
      <c r="I11" s="22" t="e">
        <f>'Annual Data'!#REF!</f>
        <v>#REF!</v>
      </c>
      <c r="J11" s="22"/>
    </row>
    <row r="12" spans="1:10" ht="15.75">
      <c r="A12" s="4" t="s">
        <v>33</v>
      </c>
      <c r="B12" s="5" t="e">
        <f>'Annual Data'!#REF!</f>
        <v>#REF!</v>
      </c>
      <c r="C12" s="5" t="e">
        <f>'Annual Data'!#REF!</f>
        <v>#REF!</v>
      </c>
      <c r="D12" s="5" t="e">
        <f>'Annual Data'!#REF!</f>
        <v>#REF!</v>
      </c>
      <c r="E12" s="5" t="e">
        <f>'Annual Data'!#REF!</f>
        <v>#REF!</v>
      </c>
      <c r="F12" s="5" t="e">
        <f>'Annual Data'!#REF!</f>
        <v>#REF!</v>
      </c>
      <c r="G12" s="5" t="e">
        <f>'Annual Data'!#REF!</f>
        <v>#REF!</v>
      </c>
      <c r="H12" s="5" t="e">
        <f>'Annual Data'!#REF!</f>
        <v>#REF!</v>
      </c>
      <c r="I12" s="5" t="e">
        <f>'Annual Data'!#REF!</f>
        <v>#REF!</v>
      </c>
      <c r="J12" s="5"/>
    </row>
    <row r="13" spans="1:10" ht="15.75">
      <c r="A13" s="21" t="s">
        <v>34</v>
      </c>
      <c r="B13" s="22" t="e">
        <f>'Annual Data'!#REF!</f>
        <v>#REF!</v>
      </c>
      <c r="C13" s="22" t="e">
        <f>'Annual Data'!#REF!</f>
        <v>#REF!</v>
      </c>
      <c r="D13" s="22" t="e">
        <f>'Annual Data'!#REF!</f>
        <v>#REF!</v>
      </c>
      <c r="E13" s="22" t="e">
        <f>'Annual Data'!#REF!</f>
        <v>#REF!</v>
      </c>
      <c r="F13" s="22" t="e">
        <f>'Annual Data'!#REF!</f>
        <v>#REF!</v>
      </c>
      <c r="G13" s="22" t="e">
        <f>'Annual Data'!#REF!</f>
        <v>#REF!</v>
      </c>
      <c r="H13" s="22" t="e">
        <f>'Annual Data'!#REF!</f>
        <v>#REF!</v>
      </c>
      <c r="I13" s="22" t="e">
        <f>'Annual Data'!#REF!</f>
        <v>#REF!</v>
      </c>
      <c r="J13" s="22"/>
    </row>
    <row r="14" spans="1:10" ht="15.75">
      <c r="A14" s="4" t="s">
        <v>35</v>
      </c>
      <c r="B14" s="5" t="e">
        <f>'Annual Data'!#REF!</f>
        <v>#REF!</v>
      </c>
      <c r="C14" s="5" t="e">
        <f>'Annual Data'!#REF!</f>
        <v>#REF!</v>
      </c>
      <c r="D14" s="5" t="e">
        <f>'Annual Data'!#REF!</f>
        <v>#REF!</v>
      </c>
      <c r="E14" s="5" t="e">
        <f>'Annual Data'!#REF!</f>
        <v>#REF!</v>
      </c>
      <c r="F14" s="5" t="e">
        <f>'Annual Data'!#REF!</f>
        <v>#REF!</v>
      </c>
      <c r="G14" s="5" t="e">
        <f>'Annual Data'!#REF!</f>
        <v>#REF!</v>
      </c>
      <c r="H14" s="5" t="e">
        <f>'Annual Data'!#REF!</f>
        <v>#REF!</v>
      </c>
      <c r="I14" s="5" t="e">
        <f>'Annual Data'!#REF!</f>
        <v>#REF!</v>
      </c>
      <c r="J14" s="5"/>
    </row>
    <row r="15" spans="1:10" ht="15.75">
      <c r="A15" s="21" t="s">
        <v>36</v>
      </c>
      <c r="B15" s="22" t="e">
        <f>'Annual Data'!#REF!</f>
        <v>#REF!</v>
      </c>
      <c r="C15" s="22" t="e">
        <f>'Annual Data'!#REF!</f>
        <v>#REF!</v>
      </c>
      <c r="D15" s="22" t="e">
        <f>'Annual Data'!#REF!</f>
        <v>#REF!</v>
      </c>
      <c r="E15" s="22" t="e">
        <f>'Annual Data'!#REF!</f>
        <v>#REF!</v>
      </c>
      <c r="F15" s="22" t="e">
        <f>'Annual Data'!#REF!</f>
        <v>#REF!</v>
      </c>
      <c r="G15" s="22" t="e">
        <f>'Annual Data'!#REF!</f>
        <v>#REF!</v>
      </c>
      <c r="H15" s="22" t="e">
        <f>'Annual Data'!#REF!</f>
        <v>#REF!</v>
      </c>
      <c r="I15" s="22" t="e">
        <f>'Annual Data'!#REF!</f>
        <v>#REF!</v>
      </c>
      <c r="J15" s="22"/>
    </row>
    <row r="16" spans="1:10" ht="15.75">
      <c r="A16" s="4" t="s">
        <v>112</v>
      </c>
      <c r="B16" s="5" t="e">
        <f>'Annual Data'!#REF!</f>
        <v>#REF!</v>
      </c>
      <c r="C16" s="5" t="e">
        <f>'Annual Data'!#REF!</f>
        <v>#REF!</v>
      </c>
      <c r="D16" s="5" t="e">
        <f>'Annual Data'!#REF!</f>
        <v>#REF!</v>
      </c>
      <c r="E16" s="5" t="e">
        <f>'Annual Data'!#REF!</f>
        <v>#REF!</v>
      </c>
      <c r="F16" s="5" t="e">
        <f>'Annual Data'!#REF!</f>
        <v>#REF!</v>
      </c>
      <c r="G16" s="5" t="e">
        <f>'Annual Data'!#REF!</f>
        <v>#REF!</v>
      </c>
      <c r="H16" s="5" t="e">
        <f>'Annual Data'!#REF!</f>
        <v>#REF!</v>
      </c>
      <c r="I16" s="5" t="e">
        <f>'Annual Data'!#REF!</f>
        <v>#REF!</v>
      </c>
      <c r="J16" s="5"/>
    </row>
    <row r="17" spans="1:10" ht="15.75">
      <c r="A17" s="23" t="s">
        <v>113</v>
      </c>
      <c r="B17" s="24" t="e">
        <f>'Annual Data'!#REF!</f>
        <v>#REF!</v>
      </c>
      <c r="C17" s="24" t="e">
        <f>'Annual Data'!#REF!</f>
        <v>#REF!</v>
      </c>
      <c r="D17" s="24" t="e">
        <f>'Annual Data'!#REF!</f>
        <v>#REF!</v>
      </c>
      <c r="E17" s="24" t="e">
        <f>'Annual Data'!#REF!</f>
        <v>#REF!</v>
      </c>
      <c r="F17" s="24" t="e">
        <f>'Annual Data'!#REF!</f>
        <v>#REF!</v>
      </c>
      <c r="G17" s="24" t="e">
        <f>'Annual Data'!#REF!</f>
        <v>#REF!</v>
      </c>
      <c r="H17" s="24" t="e">
        <f>'Annual Data'!#REF!</f>
        <v>#REF!</v>
      </c>
      <c r="I17" s="24" t="e">
        <f>'Annual Data'!#REF!</f>
        <v>#REF!</v>
      </c>
      <c r="J17" s="25" t="s">
        <v>114</v>
      </c>
    </row>
    <row r="18" spans="1:10">
      <c r="A18" t="s">
        <v>115</v>
      </c>
    </row>
    <row r="19" spans="1:10">
      <c r="A19" t="s">
        <v>116</v>
      </c>
    </row>
    <row r="20" spans="1:10">
      <c r="A20" t="s">
        <v>117</v>
      </c>
    </row>
    <row r="21" spans="1:10">
      <c r="A21" s="2" t="s">
        <v>118</v>
      </c>
    </row>
    <row r="22" spans="1:10">
      <c r="A22" s="3" t="s">
        <v>119</v>
      </c>
    </row>
    <row r="23" spans="1:10">
      <c r="A23" s="3">
        <f>'PSD Intro'!C13</f>
        <v>0</v>
      </c>
    </row>
    <row r="24" spans="1:10">
      <c r="A24" s="2"/>
    </row>
  </sheetData>
  <hyperlinks>
    <hyperlink ref="A22" r:id="rId1" xr:uid="{7EFAF2BB-9B2F-4D41-8698-83B2FF2EF674}"/>
    <hyperlink ref="A23" r:id="rId2" display="sd" xr:uid="{F58BA313-51A7-4A8D-B724-A144C5AA4CF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DDB6-2562-4057-8AD4-9FC8C311425F}">
  <sheetPr codeName="Sheet5">
    <pageSetUpPr fitToPage="1"/>
  </sheetPr>
  <dimension ref="A1:I308"/>
  <sheetViews>
    <sheetView showGridLines="0" zoomScale="70" zoomScaleNormal="100" zoomScalePageLayoutView="75" workbookViewId="0"/>
  </sheetViews>
  <sheetFormatPr defaultColWidth="9.140625" defaultRowHeight="15"/>
  <cols>
    <col min="1" max="1" width="32.42578125" style="7" customWidth="1"/>
    <col min="2" max="2" width="40.42578125" style="7" customWidth="1"/>
    <col min="3" max="3" width="19.42578125" style="7" customWidth="1"/>
    <col min="4" max="4" width="18.5703125" style="7" customWidth="1"/>
    <col min="5" max="5" width="14.28515625" style="7" customWidth="1"/>
    <col min="6" max="6" width="28.28515625" style="7" customWidth="1"/>
    <col min="7" max="7" width="9.140625" style="7"/>
    <col min="8" max="8" width="32.28515625" style="7" customWidth="1"/>
    <col min="9" max="9" width="27.7109375" style="7" customWidth="1"/>
    <col min="10" max="16384" width="9.140625" style="7"/>
  </cols>
  <sheetData>
    <row r="1" spans="1:9" ht="18">
      <c r="A1" s="190" t="s">
        <v>120</v>
      </c>
      <c r="B1" s="89"/>
      <c r="C1" s="89"/>
      <c r="D1" s="89"/>
      <c r="E1" s="89"/>
      <c r="F1" s="89"/>
      <c r="G1" s="89"/>
      <c r="H1" s="89"/>
      <c r="I1" s="89"/>
    </row>
    <row r="2" spans="1:9">
      <c r="A2" s="89" t="s">
        <v>121</v>
      </c>
      <c r="B2" s="89"/>
      <c r="C2" s="89"/>
      <c r="D2" s="89"/>
      <c r="E2" s="89"/>
      <c r="F2" s="89"/>
      <c r="G2" s="89"/>
      <c r="H2" s="89"/>
      <c r="I2" s="89"/>
    </row>
    <row r="3" spans="1:9" ht="15.75">
      <c r="A3" s="181" t="s">
        <v>122</v>
      </c>
      <c r="B3" s="182"/>
      <c r="C3" s="89"/>
      <c r="D3" s="89"/>
      <c r="E3" s="89"/>
      <c r="F3" s="89"/>
      <c r="G3" s="89"/>
      <c r="H3" s="89"/>
      <c r="I3" s="89"/>
    </row>
    <row r="4" spans="1:9" ht="15.75">
      <c r="A4" s="183" t="s">
        <v>123</v>
      </c>
      <c r="B4" s="184" t="s">
        <v>124</v>
      </c>
      <c r="C4" s="89"/>
      <c r="D4" s="89"/>
      <c r="E4" s="89"/>
      <c r="F4" s="89"/>
      <c r="G4" s="89"/>
      <c r="H4" s="89"/>
      <c r="I4" s="89"/>
    </row>
    <row r="5" spans="1:9">
      <c r="A5" s="115" t="str">
        <f>ProcurementAllocationData[[#Headers],[Deep Green]]</f>
        <v>Deep Green</v>
      </c>
      <c r="B5" s="115">
        <f t="shared" ref="B5:B10" si="0">SUMIFS($F$13:$F$308,$A$13:$A$308,$A5)</f>
        <v>0</v>
      </c>
      <c r="C5" s="89"/>
      <c r="D5" s="89"/>
      <c r="E5" s="89"/>
      <c r="F5" s="89"/>
      <c r="G5" s="89"/>
      <c r="H5" s="89"/>
      <c r="I5" s="89"/>
    </row>
    <row r="6" spans="1:9">
      <c r="A6" s="115" t="str">
        <f>ProcurementAllocationData[[#Headers],[LocalSol]]</f>
        <v>LocalSol</v>
      </c>
      <c r="B6" s="115">
        <f t="shared" si="0"/>
        <v>0</v>
      </c>
      <c r="C6" s="89"/>
      <c r="D6" s="89"/>
      <c r="E6" s="89"/>
      <c r="F6" s="89"/>
      <c r="G6" s="89"/>
      <c r="H6" s="89"/>
      <c r="I6" s="89"/>
    </row>
    <row r="7" spans="1:9">
      <c r="A7" s="115" t="str">
        <f>ProcurementAllocationData[[#Headers],[LightGreen]]</f>
        <v>LightGreen</v>
      </c>
      <c r="B7" s="115">
        <f t="shared" si="0"/>
        <v>0</v>
      </c>
      <c r="C7" s="89"/>
      <c r="D7" s="89"/>
      <c r="E7" s="89"/>
      <c r="F7" s="89"/>
      <c r="G7" s="89"/>
      <c r="H7" s="89"/>
      <c r="I7" s="89"/>
    </row>
    <row r="8" spans="1:9">
      <c r="A8" s="115" t="str">
        <f>ProcurementAllocationData[[#Headers],[GreenAccess]]</f>
        <v>GreenAccess</v>
      </c>
      <c r="B8" s="115">
        <f t="shared" si="0"/>
        <v>0</v>
      </c>
      <c r="C8" s="89"/>
      <c r="D8" s="89"/>
      <c r="E8" s="89"/>
      <c r="F8" s="89"/>
      <c r="G8" s="89"/>
      <c r="H8" s="89"/>
      <c r="I8" s="89"/>
    </row>
    <row r="9" spans="1:9">
      <c r="A9" s="115" t="str">
        <f>ProcurementAllocationData[[#Headers],[Electricity Portfolio Name 5]]</f>
        <v>Electricity Portfolio Name 5</v>
      </c>
      <c r="B9" s="115">
        <f t="shared" si="0"/>
        <v>0</v>
      </c>
      <c r="C9" s="89"/>
      <c r="D9" s="89"/>
      <c r="E9" s="89"/>
      <c r="F9" s="89"/>
      <c r="G9" s="89"/>
      <c r="H9" s="89"/>
      <c r="I9" s="89"/>
    </row>
    <row r="10" spans="1:9">
      <c r="A10" s="153" t="str">
        <f>ProcurementAllocationData[[#Headers],[Electricity Portfolio Name 6]]</f>
        <v>Electricity Portfolio Name 6</v>
      </c>
      <c r="B10" s="153">
        <f t="shared" si="0"/>
        <v>0</v>
      </c>
      <c r="C10" s="89"/>
      <c r="D10" s="89"/>
      <c r="E10" s="89"/>
      <c r="F10" s="89"/>
      <c r="G10" s="89"/>
      <c r="H10" s="89"/>
      <c r="I10" s="89"/>
    </row>
    <row r="11" spans="1:9" s="152" customFormat="1" ht="20.25">
      <c r="A11" s="185" t="s">
        <v>125</v>
      </c>
      <c r="B11" s="186"/>
      <c r="C11" s="186"/>
      <c r="D11" s="186"/>
      <c r="E11" s="186"/>
      <c r="F11" s="187"/>
      <c r="G11" s="89"/>
      <c r="H11" s="7"/>
      <c r="I11" s="7"/>
    </row>
    <row r="12" spans="1:9" ht="40.5" customHeight="1">
      <c r="A12" s="188" t="s">
        <v>123</v>
      </c>
      <c r="B12" s="90" t="s">
        <v>126</v>
      </c>
      <c r="C12" s="91" t="s">
        <v>58</v>
      </c>
      <c r="D12" s="91" t="s">
        <v>59</v>
      </c>
      <c r="E12" s="91" t="s">
        <v>127</v>
      </c>
      <c r="F12" s="189" t="s">
        <v>124</v>
      </c>
      <c r="G12" s="89"/>
    </row>
    <row r="13" spans="1:9">
      <c r="A13" s="238"/>
      <c r="B13" s="239"/>
      <c r="C13" s="239"/>
      <c r="D13" s="240"/>
      <c r="E13" s="240"/>
      <c r="F13" s="241"/>
      <c r="G13" s="89"/>
    </row>
    <row r="14" spans="1:9">
      <c r="A14" s="238"/>
      <c r="B14" s="239"/>
      <c r="C14" s="239"/>
      <c r="D14" s="240"/>
      <c r="E14" s="240"/>
      <c r="F14" s="241"/>
      <c r="G14" s="89"/>
    </row>
    <row r="15" spans="1:9">
      <c r="A15" s="238"/>
      <c r="B15" s="239"/>
      <c r="C15" s="239"/>
      <c r="D15" s="240"/>
      <c r="E15" s="240"/>
      <c r="F15" s="241"/>
      <c r="G15" s="89"/>
    </row>
    <row r="16" spans="1:9">
      <c r="A16" s="238"/>
      <c r="B16" s="239"/>
      <c r="C16" s="239"/>
      <c r="D16" s="240"/>
      <c r="E16" s="240"/>
      <c r="F16" s="241"/>
      <c r="G16" s="89"/>
    </row>
    <row r="17" spans="1:9">
      <c r="A17" s="238"/>
      <c r="B17" s="239"/>
      <c r="C17" s="239"/>
      <c r="D17" s="240"/>
      <c r="E17" s="240"/>
      <c r="F17" s="241"/>
      <c r="G17" s="89"/>
    </row>
    <row r="18" spans="1:9">
      <c r="A18" s="238"/>
      <c r="B18" s="239"/>
      <c r="C18" s="239"/>
      <c r="D18" s="240"/>
      <c r="E18" s="240"/>
      <c r="F18" s="241"/>
      <c r="G18" s="89"/>
    </row>
    <row r="19" spans="1:9">
      <c r="A19" s="238"/>
      <c r="B19" s="239"/>
      <c r="C19" s="239"/>
      <c r="D19" s="240"/>
      <c r="E19" s="240"/>
      <c r="F19" s="241"/>
      <c r="G19" s="89"/>
      <c r="H19" s="89"/>
      <c r="I19" s="89"/>
    </row>
    <row r="20" spans="1:9">
      <c r="A20" s="238"/>
      <c r="B20" s="239"/>
      <c r="C20" s="239"/>
      <c r="D20" s="240"/>
      <c r="E20" s="240"/>
      <c r="F20" s="241"/>
      <c r="G20" s="89"/>
      <c r="H20" s="89"/>
      <c r="I20" s="89"/>
    </row>
    <row r="21" spans="1:9">
      <c r="A21" s="238"/>
      <c r="B21" s="239"/>
      <c r="C21" s="239"/>
      <c r="D21" s="240"/>
      <c r="E21" s="240"/>
      <c r="F21" s="241"/>
      <c r="G21" s="89"/>
      <c r="H21" s="89"/>
      <c r="I21" s="89"/>
    </row>
    <row r="22" spans="1:9">
      <c r="A22" s="238"/>
      <c r="B22" s="239"/>
      <c r="C22" s="239"/>
      <c r="D22" s="240"/>
      <c r="E22" s="240"/>
      <c r="F22" s="241"/>
      <c r="G22" s="89"/>
      <c r="H22" s="89"/>
      <c r="I22" s="89"/>
    </row>
    <row r="23" spans="1:9">
      <c r="A23" s="238"/>
      <c r="B23" s="239"/>
      <c r="C23" s="239"/>
      <c r="D23" s="240"/>
      <c r="E23" s="240"/>
      <c r="F23" s="241"/>
      <c r="G23" s="89"/>
      <c r="H23" s="89"/>
      <c r="I23" s="89"/>
    </row>
    <row r="24" spans="1:9">
      <c r="A24" s="238"/>
      <c r="B24" s="239"/>
      <c r="C24" s="239"/>
      <c r="D24" s="240"/>
      <c r="E24" s="240"/>
      <c r="F24" s="241"/>
      <c r="G24" s="89"/>
      <c r="H24" s="89"/>
      <c r="I24" s="89"/>
    </row>
    <row r="25" spans="1:9">
      <c r="A25" s="238"/>
      <c r="B25" s="239"/>
      <c r="C25" s="239"/>
      <c r="D25" s="240"/>
      <c r="E25" s="240"/>
      <c r="F25" s="241"/>
      <c r="G25" s="89"/>
      <c r="H25" s="89"/>
      <c r="I25" s="89"/>
    </row>
    <row r="26" spans="1:9">
      <c r="A26" s="238"/>
      <c r="B26" s="239"/>
      <c r="C26" s="239"/>
      <c r="D26" s="240"/>
      <c r="E26" s="240"/>
      <c r="F26" s="241"/>
      <c r="G26" s="89"/>
      <c r="H26" s="89"/>
      <c r="I26" s="89"/>
    </row>
    <row r="27" spans="1:9">
      <c r="A27" s="238"/>
      <c r="B27" s="239"/>
      <c r="C27" s="239"/>
      <c r="D27" s="240"/>
      <c r="E27" s="240"/>
      <c r="F27" s="241"/>
      <c r="G27" s="89"/>
      <c r="H27" s="89"/>
      <c r="I27" s="89"/>
    </row>
    <row r="28" spans="1:9">
      <c r="A28" s="238"/>
      <c r="B28" s="239"/>
      <c r="C28" s="239"/>
      <c r="D28" s="240"/>
      <c r="E28" s="240"/>
      <c r="F28" s="241"/>
      <c r="G28" s="89"/>
      <c r="H28" s="89"/>
      <c r="I28" s="89"/>
    </row>
    <row r="29" spans="1:9">
      <c r="A29" s="238"/>
      <c r="B29" s="239"/>
      <c r="C29" s="239"/>
      <c r="D29" s="240"/>
      <c r="E29" s="240"/>
      <c r="F29" s="241"/>
      <c r="G29" s="89"/>
      <c r="H29" s="89"/>
      <c r="I29" s="89"/>
    </row>
    <row r="30" spans="1:9">
      <c r="A30" s="238"/>
      <c r="B30" s="239"/>
      <c r="C30" s="239"/>
      <c r="D30" s="240"/>
      <c r="E30" s="240"/>
      <c r="F30" s="241"/>
      <c r="G30" s="89"/>
      <c r="H30" s="89"/>
      <c r="I30" s="89"/>
    </row>
    <row r="31" spans="1:9">
      <c r="A31" s="238"/>
      <c r="B31" s="239"/>
      <c r="C31" s="239"/>
      <c r="D31" s="240"/>
      <c r="E31" s="240"/>
      <c r="F31" s="241"/>
      <c r="G31" s="89"/>
      <c r="H31" s="89"/>
      <c r="I31" s="89"/>
    </row>
    <row r="32" spans="1:9">
      <c r="A32" s="238"/>
      <c r="B32" s="239"/>
      <c r="C32" s="239"/>
      <c r="D32" s="240"/>
      <c r="E32" s="240"/>
      <c r="F32" s="241"/>
      <c r="G32" s="89"/>
      <c r="H32" s="89"/>
      <c r="I32" s="89"/>
    </row>
    <row r="33" spans="1:9">
      <c r="A33" s="238"/>
      <c r="B33" s="239"/>
      <c r="C33" s="239"/>
      <c r="D33" s="240"/>
      <c r="E33" s="240"/>
      <c r="F33" s="241"/>
      <c r="G33" s="89"/>
      <c r="H33" s="89"/>
      <c r="I33" s="89"/>
    </row>
    <row r="34" spans="1:9">
      <c r="A34" s="238"/>
      <c r="B34" s="239"/>
      <c r="C34" s="239"/>
      <c r="D34" s="240"/>
      <c r="E34" s="240"/>
      <c r="F34" s="241"/>
      <c r="G34" s="89"/>
      <c r="H34" s="89"/>
      <c r="I34" s="89"/>
    </row>
    <row r="35" spans="1:9">
      <c r="A35" s="238"/>
      <c r="B35" s="239"/>
      <c r="C35" s="239"/>
      <c r="D35" s="240"/>
      <c r="E35" s="240"/>
      <c r="F35" s="241"/>
      <c r="G35" s="89"/>
      <c r="H35" s="89"/>
      <c r="I35" s="89"/>
    </row>
    <row r="36" spans="1:9">
      <c r="A36" s="238"/>
      <c r="B36" s="239"/>
      <c r="C36" s="239"/>
      <c r="D36" s="240"/>
      <c r="E36" s="240"/>
      <c r="F36" s="241"/>
      <c r="G36" s="89"/>
      <c r="H36" s="89"/>
      <c r="I36" s="89"/>
    </row>
    <row r="37" spans="1:9">
      <c r="A37" s="238"/>
      <c r="B37" s="239"/>
      <c r="C37" s="239"/>
      <c r="D37" s="240"/>
      <c r="E37" s="240"/>
      <c r="F37" s="241"/>
      <c r="G37" s="89"/>
      <c r="H37" s="89"/>
      <c r="I37" s="89"/>
    </row>
    <row r="38" spans="1:9">
      <c r="A38" s="238"/>
      <c r="B38" s="239"/>
      <c r="C38" s="239"/>
      <c r="D38" s="240"/>
      <c r="E38" s="240"/>
      <c r="F38" s="241"/>
      <c r="G38" s="89"/>
      <c r="H38" s="89"/>
      <c r="I38" s="89"/>
    </row>
    <row r="39" spans="1:9">
      <c r="A39" s="238"/>
      <c r="B39" s="239"/>
      <c r="C39" s="239"/>
      <c r="D39" s="240"/>
      <c r="E39" s="240"/>
      <c r="F39" s="241"/>
      <c r="G39" s="89"/>
      <c r="H39" s="89"/>
      <c r="I39" s="89"/>
    </row>
    <row r="40" spans="1:9">
      <c r="A40" s="238"/>
      <c r="B40" s="239"/>
      <c r="C40" s="239"/>
      <c r="D40" s="240"/>
      <c r="E40" s="240"/>
      <c r="F40" s="241"/>
      <c r="G40" s="89"/>
      <c r="H40" s="89"/>
      <c r="I40" s="89"/>
    </row>
    <row r="41" spans="1:9">
      <c r="A41" s="238"/>
      <c r="B41" s="242"/>
      <c r="C41" s="242"/>
      <c r="D41" s="242"/>
      <c r="E41" s="242"/>
      <c r="F41" s="243"/>
      <c r="G41" s="89"/>
      <c r="H41" s="89"/>
      <c r="I41" s="89"/>
    </row>
    <row r="42" spans="1:9">
      <c r="A42" s="238"/>
      <c r="B42" s="242"/>
      <c r="C42" s="242"/>
      <c r="D42" s="242"/>
      <c r="E42" s="242"/>
      <c r="F42" s="243"/>
      <c r="G42" s="89"/>
      <c r="H42" s="89"/>
      <c r="I42" s="89"/>
    </row>
    <row r="43" spans="1:9">
      <c r="A43" s="238"/>
      <c r="B43" s="242"/>
      <c r="C43" s="242"/>
      <c r="D43" s="242"/>
      <c r="E43" s="242"/>
      <c r="F43" s="243"/>
      <c r="G43" s="89"/>
      <c r="H43" s="89"/>
      <c r="I43" s="89"/>
    </row>
    <row r="44" spans="1:9">
      <c r="A44" s="238"/>
      <c r="B44" s="239"/>
      <c r="C44" s="239"/>
      <c r="D44" s="240"/>
      <c r="E44" s="240"/>
      <c r="F44" s="241"/>
      <c r="G44" s="89"/>
      <c r="H44" s="89"/>
      <c r="I44" s="89"/>
    </row>
    <row r="45" spans="1:9">
      <c r="A45" s="238"/>
      <c r="B45" s="239"/>
      <c r="C45" s="239"/>
      <c r="D45" s="240"/>
      <c r="E45" s="240"/>
      <c r="F45" s="241"/>
      <c r="G45" s="89"/>
      <c r="H45" s="89"/>
      <c r="I45" s="89"/>
    </row>
    <row r="46" spans="1:9">
      <c r="A46" s="238"/>
      <c r="B46" s="239"/>
      <c r="C46" s="239"/>
      <c r="D46" s="240"/>
      <c r="E46" s="240"/>
      <c r="F46" s="241"/>
      <c r="G46" s="89"/>
      <c r="H46" s="89"/>
      <c r="I46" s="89"/>
    </row>
    <row r="47" spans="1:9">
      <c r="A47" s="238"/>
      <c r="B47" s="239"/>
      <c r="C47" s="239"/>
      <c r="D47" s="240"/>
      <c r="E47" s="240"/>
      <c r="F47" s="241"/>
      <c r="G47" s="89"/>
      <c r="H47" s="89"/>
      <c r="I47" s="89"/>
    </row>
    <row r="48" spans="1:9">
      <c r="A48" s="238"/>
      <c r="B48" s="239"/>
      <c r="C48" s="239"/>
      <c r="D48" s="240"/>
      <c r="E48" s="240"/>
      <c r="F48" s="241"/>
      <c r="G48" s="89"/>
      <c r="H48" s="89"/>
      <c r="I48" s="89"/>
    </row>
    <row r="49" spans="1:9">
      <c r="A49" s="238"/>
      <c r="B49" s="239"/>
      <c r="C49" s="239"/>
      <c r="D49" s="240"/>
      <c r="E49" s="240"/>
      <c r="F49" s="241"/>
      <c r="G49" s="89"/>
      <c r="H49" s="89"/>
      <c r="I49" s="89"/>
    </row>
    <row r="50" spans="1:9">
      <c r="A50" s="238"/>
      <c r="B50" s="239"/>
      <c r="C50" s="239"/>
      <c r="D50" s="240"/>
      <c r="E50" s="240"/>
      <c r="F50" s="241"/>
      <c r="G50" s="89"/>
      <c r="H50" s="89"/>
      <c r="I50" s="89"/>
    </row>
    <row r="51" spans="1:9">
      <c r="A51" s="238"/>
      <c r="B51" s="239"/>
      <c r="C51" s="239"/>
      <c r="D51" s="240"/>
      <c r="E51" s="240"/>
      <c r="F51" s="241"/>
      <c r="G51" s="89"/>
      <c r="H51" s="89"/>
      <c r="I51" s="89"/>
    </row>
    <row r="52" spans="1:9">
      <c r="A52" s="238"/>
      <c r="B52" s="239"/>
      <c r="C52" s="239"/>
      <c r="D52" s="240"/>
      <c r="E52" s="240"/>
      <c r="F52" s="241"/>
      <c r="G52" s="89"/>
      <c r="H52" s="89"/>
      <c r="I52" s="89"/>
    </row>
    <row r="53" spans="1:9">
      <c r="A53" s="238"/>
      <c r="B53" s="239"/>
      <c r="C53" s="239"/>
      <c r="D53" s="240"/>
      <c r="E53" s="240"/>
      <c r="F53" s="241"/>
      <c r="G53" s="89"/>
      <c r="H53" s="89"/>
      <c r="I53" s="89"/>
    </row>
    <row r="54" spans="1:9">
      <c r="A54" s="238"/>
      <c r="B54" s="239"/>
      <c r="C54" s="239"/>
      <c r="D54" s="240"/>
      <c r="E54" s="240"/>
      <c r="F54" s="241"/>
      <c r="G54" s="89"/>
      <c r="H54" s="89"/>
      <c r="I54" s="89"/>
    </row>
    <row r="55" spans="1:9">
      <c r="A55" s="238"/>
      <c r="B55" s="239"/>
      <c r="C55" s="239"/>
      <c r="D55" s="240"/>
      <c r="E55" s="240"/>
      <c r="F55" s="241"/>
      <c r="G55" s="89"/>
      <c r="H55" s="89"/>
      <c r="I55" s="89"/>
    </row>
    <row r="56" spans="1:9">
      <c r="A56" s="238"/>
      <c r="B56" s="239"/>
      <c r="C56" s="239"/>
      <c r="D56" s="240"/>
      <c r="E56" s="240"/>
      <c r="F56" s="241"/>
      <c r="G56" s="89"/>
      <c r="H56" s="89"/>
      <c r="I56" s="89"/>
    </row>
    <row r="57" spans="1:9">
      <c r="A57" s="238"/>
      <c r="B57" s="239"/>
      <c r="C57" s="239"/>
      <c r="D57" s="240"/>
      <c r="E57" s="240"/>
      <c r="F57" s="241"/>
      <c r="G57" s="89"/>
      <c r="H57" s="89"/>
      <c r="I57" s="89"/>
    </row>
    <row r="58" spans="1:9">
      <c r="A58" s="238"/>
      <c r="B58" s="239"/>
      <c r="C58" s="239"/>
      <c r="D58" s="240"/>
      <c r="E58" s="240"/>
      <c r="F58" s="241"/>
      <c r="G58" s="89"/>
      <c r="H58" s="89"/>
      <c r="I58" s="89"/>
    </row>
    <row r="59" spans="1:9">
      <c r="A59" s="238"/>
      <c r="B59" s="239"/>
      <c r="C59" s="239"/>
      <c r="D59" s="240"/>
      <c r="E59" s="240"/>
      <c r="F59" s="241"/>
      <c r="G59" s="89"/>
      <c r="H59" s="89"/>
      <c r="I59" s="89"/>
    </row>
    <row r="60" spans="1:9">
      <c r="A60" s="238"/>
      <c r="B60" s="239"/>
      <c r="C60" s="239"/>
      <c r="D60" s="240"/>
      <c r="E60" s="240"/>
      <c r="F60" s="241"/>
      <c r="G60" s="89"/>
      <c r="H60" s="89"/>
      <c r="I60" s="89"/>
    </row>
    <row r="61" spans="1:9">
      <c r="A61" s="238"/>
      <c r="B61" s="239"/>
      <c r="C61" s="239"/>
      <c r="D61" s="240"/>
      <c r="E61" s="240"/>
      <c r="F61" s="241"/>
      <c r="G61" s="89"/>
      <c r="H61" s="89"/>
      <c r="I61" s="89"/>
    </row>
    <row r="62" spans="1:9">
      <c r="A62" s="238"/>
      <c r="B62" s="239"/>
      <c r="C62" s="239"/>
      <c r="D62" s="240"/>
      <c r="E62" s="240"/>
      <c r="F62" s="241"/>
      <c r="G62" s="89"/>
      <c r="H62" s="89"/>
      <c r="I62" s="89"/>
    </row>
    <row r="63" spans="1:9">
      <c r="A63" s="238"/>
      <c r="B63" s="239"/>
      <c r="C63" s="239"/>
      <c r="D63" s="240"/>
      <c r="E63" s="240"/>
      <c r="F63" s="241"/>
      <c r="G63" s="89"/>
      <c r="H63" s="89"/>
      <c r="I63" s="89"/>
    </row>
    <row r="64" spans="1:9">
      <c r="A64" s="238"/>
      <c r="B64" s="239"/>
      <c r="C64" s="239"/>
      <c r="D64" s="240"/>
      <c r="E64" s="240"/>
      <c r="F64" s="241"/>
      <c r="G64" s="89"/>
      <c r="H64" s="89"/>
      <c r="I64" s="89"/>
    </row>
    <row r="65" spans="1:9">
      <c r="A65" s="238"/>
      <c r="B65" s="239"/>
      <c r="C65" s="239"/>
      <c r="D65" s="240"/>
      <c r="E65" s="240"/>
      <c r="F65" s="241"/>
      <c r="G65" s="89"/>
      <c r="H65" s="89"/>
      <c r="I65" s="89"/>
    </row>
    <row r="66" spans="1:9">
      <c r="A66" s="238"/>
      <c r="B66" s="239"/>
      <c r="C66" s="239"/>
      <c r="D66" s="240"/>
      <c r="E66" s="240"/>
      <c r="F66" s="241"/>
      <c r="G66" s="89"/>
      <c r="H66" s="89"/>
      <c r="I66" s="89"/>
    </row>
    <row r="67" spans="1:9">
      <c r="A67" s="238"/>
      <c r="B67" s="239"/>
      <c r="C67" s="239"/>
      <c r="D67" s="240"/>
      <c r="E67" s="240"/>
      <c r="F67" s="241"/>
      <c r="G67" s="89"/>
      <c r="H67" s="89"/>
      <c r="I67" s="89"/>
    </row>
    <row r="68" spans="1:9">
      <c r="A68" s="238"/>
      <c r="B68" s="239"/>
      <c r="C68" s="239"/>
      <c r="D68" s="240"/>
      <c r="E68" s="240"/>
      <c r="F68" s="241"/>
      <c r="G68" s="89"/>
      <c r="H68" s="89"/>
      <c r="I68" s="89"/>
    </row>
    <row r="69" spans="1:9">
      <c r="A69" s="238"/>
      <c r="B69" s="239"/>
      <c r="C69" s="239"/>
      <c r="D69" s="240"/>
      <c r="E69" s="240"/>
      <c r="F69" s="241"/>
      <c r="G69" s="89"/>
      <c r="H69" s="89"/>
      <c r="I69" s="89"/>
    </row>
    <row r="70" spans="1:9">
      <c r="A70" s="238"/>
      <c r="B70" s="239"/>
      <c r="C70" s="239"/>
      <c r="D70" s="240"/>
      <c r="E70" s="240"/>
      <c r="F70" s="241"/>
      <c r="G70" s="89"/>
      <c r="H70" s="89"/>
      <c r="I70" s="89"/>
    </row>
    <row r="71" spans="1:9">
      <c r="A71" s="238"/>
      <c r="B71" s="239"/>
      <c r="C71" s="239"/>
      <c r="D71" s="240"/>
      <c r="E71" s="240"/>
      <c r="F71" s="241"/>
      <c r="G71" s="89"/>
      <c r="H71" s="89"/>
      <c r="I71" s="89"/>
    </row>
    <row r="72" spans="1:9">
      <c r="A72" s="238"/>
      <c r="B72" s="242"/>
      <c r="C72" s="242"/>
      <c r="D72" s="242"/>
      <c r="E72" s="242"/>
      <c r="F72" s="243"/>
      <c r="G72" s="89"/>
      <c r="H72" s="89"/>
      <c r="I72" s="89"/>
    </row>
    <row r="73" spans="1:9">
      <c r="A73" s="238"/>
      <c r="B73" s="242"/>
      <c r="C73" s="242"/>
      <c r="D73" s="242"/>
      <c r="E73" s="242"/>
      <c r="F73" s="243"/>
      <c r="G73" s="89"/>
      <c r="H73" s="89"/>
      <c r="I73" s="89"/>
    </row>
    <row r="74" spans="1:9">
      <c r="A74" s="238"/>
      <c r="B74" s="242"/>
      <c r="C74" s="242"/>
      <c r="D74" s="242"/>
      <c r="E74" s="242"/>
      <c r="F74" s="243"/>
      <c r="G74" s="89"/>
      <c r="H74" s="89"/>
      <c r="I74" s="89"/>
    </row>
    <row r="75" spans="1:9">
      <c r="A75" s="238"/>
      <c r="B75" s="239"/>
      <c r="C75" s="239"/>
      <c r="D75" s="240"/>
      <c r="E75" s="240"/>
      <c r="F75" s="241"/>
      <c r="G75" s="89"/>
      <c r="H75" s="89"/>
      <c r="I75" s="89"/>
    </row>
    <row r="76" spans="1:9">
      <c r="A76" s="238"/>
      <c r="B76" s="239"/>
      <c r="C76" s="239"/>
      <c r="D76" s="240"/>
      <c r="E76" s="240"/>
      <c r="F76" s="241"/>
      <c r="G76" s="89"/>
      <c r="H76" s="89"/>
      <c r="I76" s="89"/>
    </row>
    <row r="77" spans="1:9">
      <c r="A77" s="238"/>
      <c r="B77" s="239"/>
      <c r="C77" s="239"/>
      <c r="D77" s="240"/>
      <c r="E77" s="240"/>
      <c r="F77" s="241"/>
      <c r="G77" s="89"/>
      <c r="H77" s="89"/>
      <c r="I77" s="89"/>
    </row>
    <row r="78" spans="1:9">
      <c r="A78" s="238"/>
      <c r="B78" s="239"/>
      <c r="C78" s="239"/>
      <c r="D78" s="240"/>
      <c r="E78" s="240"/>
      <c r="F78" s="241"/>
      <c r="G78" s="89"/>
      <c r="H78" s="89"/>
      <c r="I78" s="89"/>
    </row>
    <row r="79" spans="1:9">
      <c r="A79" s="238"/>
      <c r="B79" s="239"/>
      <c r="C79" s="239"/>
      <c r="D79" s="240"/>
      <c r="E79" s="240"/>
      <c r="F79" s="241"/>
      <c r="G79" s="89"/>
      <c r="H79" s="89"/>
      <c r="I79" s="89"/>
    </row>
    <row r="80" spans="1:9">
      <c r="A80" s="238"/>
      <c r="B80" s="239"/>
      <c r="C80" s="239"/>
      <c r="D80" s="240"/>
      <c r="E80" s="240"/>
      <c r="F80" s="241"/>
      <c r="G80" s="89"/>
      <c r="H80" s="89"/>
      <c r="I80" s="89"/>
    </row>
    <row r="81" spans="1:9">
      <c r="A81" s="238"/>
      <c r="B81" s="239"/>
      <c r="C81" s="239"/>
      <c r="D81" s="240"/>
      <c r="E81" s="240"/>
      <c r="F81" s="241"/>
      <c r="G81" s="89"/>
      <c r="H81" s="89"/>
      <c r="I81" s="89"/>
    </row>
    <row r="82" spans="1:9">
      <c r="A82" s="238"/>
      <c r="B82" s="239"/>
      <c r="C82" s="239"/>
      <c r="D82" s="240"/>
      <c r="E82" s="240"/>
      <c r="F82" s="241"/>
      <c r="G82" s="89"/>
      <c r="H82" s="89"/>
      <c r="I82" s="89"/>
    </row>
    <row r="83" spans="1:9">
      <c r="A83" s="238"/>
      <c r="B83" s="239"/>
      <c r="C83" s="239"/>
      <c r="D83" s="240"/>
      <c r="E83" s="240"/>
      <c r="F83" s="241"/>
      <c r="G83" s="89"/>
      <c r="H83" s="89"/>
      <c r="I83" s="89"/>
    </row>
    <row r="84" spans="1:9">
      <c r="A84" s="238"/>
      <c r="B84" s="239"/>
      <c r="C84" s="239"/>
      <c r="D84" s="240"/>
      <c r="E84" s="240"/>
      <c r="F84" s="241"/>
      <c r="G84" s="89"/>
      <c r="H84" s="89"/>
      <c r="I84" s="89"/>
    </row>
    <row r="85" spans="1:9">
      <c r="A85" s="238"/>
      <c r="B85" s="239"/>
      <c r="C85" s="239"/>
      <c r="D85" s="240"/>
      <c r="E85" s="240"/>
      <c r="F85" s="241"/>
      <c r="G85" s="89"/>
      <c r="H85" s="89"/>
      <c r="I85" s="89"/>
    </row>
    <row r="86" spans="1:9">
      <c r="A86" s="238"/>
      <c r="B86" s="239"/>
      <c r="C86" s="239"/>
      <c r="D86" s="240"/>
      <c r="E86" s="240"/>
      <c r="F86" s="241"/>
      <c r="G86" s="89"/>
      <c r="H86" s="89"/>
      <c r="I86" s="89"/>
    </row>
    <row r="87" spans="1:9">
      <c r="A87" s="238"/>
      <c r="B87" s="239"/>
      <c r="C87" s="239"/>
      <c r="D87" s="240"/>
      <c r="E87" s="240"/>
      <c r="F87" s="241"/>
      <c r="G87" s="89"/>
      <c r="H87" s="89"/>
      <c r="I87" s="89"/>
    </row>
    <row r="88" spans="1:9">
      <c r="A88" s="238"/>
      <c r="B88" s="239"/>
      <c r="C88" s="239"/>
      <c r="D88" s="240"/>
      <c r="E88" s="240"/>
      <c r="F88" s="241"/>
      <c r="G88" s="89"/>
      <c r="H88" s="89"/>
      <c r="I88" s="89"/>
    </row>
    <row r="89" spans="1:9">
      <c r="A89" s="238"/>
      <c r="B89" s="239"/>
      <c r="C89" s="239"/>
      <c r="D89" s="240"/>
      <c r="E89" s="240"/>
      <c r="F89" s="241"/>
      <c r="G89" s="89"/>
      <c r="H89" s="89"/>
      <c r="I89" s="89"/>
    </row>
    <row r="90" spans="1:9">
      <c r="A90" s="238"/>
      <c r="B90" s="239"/>
      <c r="C90" s="239"/>
      <c r="D90" s="240"/>
      <c r="E90" s="240"/>
      <c r="F90" s="241"/>
      <c r="G90" s="89"/>
      <c r="H90" s="89"/>
      <c r="I90" s="89"/>
    </row>
    <row r="91" spans="1:9">
      <c r="A91" s="238"/>
      <c r="B91" s="239"/>
      <c r="C91" s="239"/>
      <c r="D91" s="240"/>
      <c r="E91" s="240"/>
      <c r="F91" s="241"/>
      <c r="G91" s="89"/>
      <c r="H91" s="89"/>
      <c r="I91" s="89"/>
    </row>
    <row r="92" spans="1:9">
      <c r="A92" s="238"/>
      <c r="B92" s="239"/>
      <c r="C92" s="239"/>
      <c r="D92" s="240"/>
      <c r="E92" s="240"/>
      <c r="F92" s="241"/>
      <c r="G92" s="89"/>
      <c r="H92" s="89"/>
      <c r="I92" s="89"/>
    </row>
    <row r="93" spans="1:9">
      <c r="A93" s="238"/>
      <c r="B93" s="239"/>
      <c r="C93" s="239"/>
      <c r="D93" s="240"/>
      <c r="E93" s="240"/>
      <c r="F93" s="241"/>
      <c r="G93" s="89"/>
      <c r="H93" s="89"/>
      <c r="I93" s="89"/>
    </row>
    <row r="94" spans="1:9">
      <c r="A94" s="238"/>
      <c r="B94" s="239"/>
      <c r="C94" s="239"/>
      <c r="D94" s="240"/>
      <c r="E94" s="240"/>
      <c r="F94" s="241"/>
      <c r="G94" s="89"/>
      <c r="H94" s="89"/>
      <c r="I94" s="89"/>
    </row>
    <row r="95" spans="1:9">
      <c r="A95" s="238"/>
      <c r="B95" s="239"/>
      <c r="C95" s="239"/>
      <c r="D95" s="240"/>
      <c r="E95" s="240"/>
      <c r="F95" s="241"/>
      <c r="G95" s="89"/>
      <c r="H95" s="89"/>
      <c r="I95" s="89"/>
    </row>
    <row r="96" spans="1:9">
      <c r="A96" s="238"/>
      <c r="B96" s="239"/>
      <c r="C96" s="239"/>
      <c r="D96" s="240"/>
      <c r="E96" s="240"/>
      <c r="F96" s="241"/>
      <c r="G96" s="89"/>
      <c r="H96" s="89"/>
      <c r="I96" s="89"/>
    </row>
    <row r="97" spans="1:9">
      <c r="A97" s="238"/>
      <c r="B97" s="239"/>
      <c r="C97" s="239"/>
      <c r="D97" s="240"/>
      <c r="E97" s="240"/>
      <c r="F97" s="241"/>
      <c r="G97" s="89"/>
      <c r="H97" s="89"/>
      <c r="I97" s="89"/>
    </row>
    <row r="98" spans="1:9">
      <c r="A98" s="238"/>
      <c r="B98" s="239"/>
      <c r="C98" s="239"/>
      <c r="D98" s="240"/>
      <c r="E98" s="240"/>
      <c r="F98" s="241"/>
      <c r="G98" s="89"/>
      <c r="H98" s="89"/>
      <c r="I98" s="89"/>
    </row>
    <row r="99" spans="1:9">
      <c r="A99" s="238"/>
      <c r="B99" s="239"/>
      <c r="C99" s="239"/>
      <c r="D99" s="240"/>
      <c r="E99" s="240"/>
      <c r="F99" s="241"/>
      <c r="G99" s="89"/>
      <c r="H99" s="89"/>
      <c r="I99" s="89"/>
    </row>
    <row r="100" spans="1:9">
      <c r="A100" s="238"/>
      <c r="B100" s="239"/>
      <c r="C100" s="239"/>
      <c r="D100" s="240"/>
      <c r="E100" s="240"/>
      <c r="F100" s="241"/>
      <c r="G100" s="89"/>
      <c r="H100" s="89"/>
      <c r="I100" s="89"/>
    </row>
    <row r="101" spans="1:9">
      <c r="A101" s="238"/>
      <c r="B101" s="239"/>
      <c r="C101" s="239"/>
      <c r="D101" s="240"/>
      <c r="E101" s="240"/>
      <c r="F101" s="241"/>
      <c r="G101" s="89"/>
      <c r="H101" s="89"/>
      <c r="I101" s="89"/>
    </row>
    <row r="102" spans="1:9">
      <c r="A102" s="238"/>
      <c r="B102" s="239"/>
      <c r="C102" s="239"/>
      <c r="D102" s="240"/>
      <c r="E102" s="240"/>
      <c r="F102" s="241"/>
      <c r="G102" s="89"/>
      <c r="H102" s="89"/>
      <c r="I102" s="89"/>
    </row>
    <row r="103" spans="1:9">
      <c r="A103" s="238"/>
      <c r="B103" s="242"/>
      <c r="C103" s="242"/>
      <c r="D103" s="242"/>
      <c r="E103" s="242"/>
      <c r="F103" s="243"/>
      <c r="G103" s="89"/>
      <c r="H103" s="89"/>
      <c r="I103" s="89"/>
    </row>
    <row r="104" spans="1:9">
      <c r="A104" s="238"/>
      <c r="B104" s="242"/>
      <c r="C104" s="242"/>
      <c r="D104" s="242"/>
      <c r="E104" s="242"/>
      <c r="F104" s="243"/>
      <c r="G104" s="89"/>
      <c r="H104" s="89"/>
      <c r="I104" s="89"/>
    </row>
    <row r="105" spans="1:9">
      <c r="A105" s="238"/>
      <c r="B105" s="242"/>
      <c r="C105" s="242"/>
      <c r="D105" s="242"/>
      <c r="E105" s="242"/>
      <c r="F105" s="243"/>
      <c r="G105" s="89"/>
      <c r="H105" s="89"/>
      <c r="I105" s="89"/>
    </row>
    <row r="106" spans="1:9">
      <c r="A106" s="238"/>
      <c r="B106" s="239"/>
      <c r="C106" s="239"/>
      <c r="D106" s="240"/>
      <c r="E106" s="240"/>
      <c r="F106" s="241"/>
      <c r="G106" s="89"/>
      <c r="H106" s="89"/>
      <c r="I106" s="89"/>
    </row>
    <row r="107" spans="1:9">
      <c r="A107" s="238"/>
      <c r="B107" s="239"/>
      <c r="C107" s="239"/>
      <c r="D107" s="240"/>
      <c r="E107" s="240"/>
      <c r="F107" s="241"/>
      <c r="G107" s="89"/>
      <c r="H107" s="89"/>
      <c r="I107" s="89"/>
    </row>
    <row r="108" spans="1:9">
      <c r="A108" s="238"/>
      <c r="B108" s="239"/>
      <c r="C108" s="239"/>
      <c r="D108" s="240"/>
      <c r="E108" s="240"/>
      <c r="F108" s="241"/>
      <c r="G108" s="89"/>
      <c r="H108" s="89"/>
      <c r="I108" s="89"/>
    </row>
    <row r="109" spans="1:9">
      <c r="A109" s="238"/>
      <c r="B109" s="239"/>
      <c r="C109" s="239"/>
      <c r="D109" s="240"/>
      <c r="E109" s="240"/>
      <c r="F109" s="241"/>
      <c r="G109" s="89"/>
      <c r="H109" s="89"/>
      <c r="I109" s="89"/>
    </row>
    <row r="110" spans="1:9">
      <c r="A110" s="238"/>
      <c r="B110" s="239"/>
      <c r="C110" s="239"/>
      <c r="D110" s="240"/>
      <c r="E110" s="240"/>
      <c r="F110" s="241"/>
      <c r="G110" s="89"/>
      <c r="H110" s="89"/>
      <c r="I110" s="89"/>
    </row>
    <row r="111" spans="1:9">
      <c r="A111" s="238"/>
      <c r="B111" s="239"/>
      <c r="C111" s="239"/>
      <c r="D111" s="240"/>
      <c r="E111" s="240"/>
      <c r="F111" s="241"/>
      <c r="G111" s="89"/>
      <c r="H111" s="89"/>
      <c r="I111" s="89"/>
    </row>
    <row r="112" spans="1:9">
      <c r="A112" s="238"/>
      <c r="B112" s="239"/>
      <c r="C112" s="239"/>
      <c r="D112" s="240"/>
      <c r="E112" s="240"/>
      <c r="F112" s="241"/>
      <c r="G112" s="89"/>
      <c r="H112" s="89"/>
      <c r="I112" s="89"/>
    </row>
    <row r="113" spans="1:9">
      <c r="A113" s="238"/>
      <c r="B113" s="239"/>
      <c r="C113" s="239"/>
      <c r="D113" s="240"/>
      <c r="E113" s="240"/>
      <c r="F113" s="241"/>
      <c r="G113" s="89"/>
      <c r="H113" s="89"/>
      <c r="I113" s="89"/>
    </row>
    <row r="114" spans="1:9">
      <c r="A114" s="238"/>
      <c r="B114" s="239"/>
      <c r="C114" s="239"/>
      <c r="D114" s="240"/>
      <c r="E114" s="240"/>
      <c r="F114" s="241"/>
      <c r="G114" s="89"/>
      <c r="H114" s="89"/>
      <c r="I114" s="89"/>
    </row>
    <row r="115" spans="1:9">
      <c r="A115" s="238"/>
      <c r="B115" s="239"/>
      <c r="C115" s="239"/>
      <c r="D115" s="240"/>
      <c r="E115" s="240"/>
      <c r="F115" s="241"/>
      <c r="G115" s="89"/>
      <c r="H115" s="89"/>
      <c r="I115" s="89"/>
    </row>
    <row r="116" spans="1:9">
      <c r="A116" s="238"/>
      <c r="B116" s="239"/>
      <c r="C116" s="239"/>
      <c r="D116" s="240"/>
      <c r="E116" s="240"/>
      <c r="F116" s="241"/>
      <c r="G116" s="89"/>
      <c r="H116" s="89"/>
      <c r="I116" s="89"/>
    </row>
    <row r="117" spans="1:9">
      <c r="A117" s="238"/>
      <c r="B117" s="239"/>
      <c r="C117" s="239"/>
      <c r="D117" s="240"/>
      <c r="E117" s="240"/>
      <c r="F117" s="241"/>
      <c r="G117" s="89"/>
      <c r="H117" s="89"/>
      <c r="I117" s="89"/>
    </row>
    <row r="118" spans="1:9">
      <c r="A118" s="238"/>
      <c r="B118" s="239"/>
      <c r="C118" s="239"/>
      <c r="D118" s="240"/>
      <c r="E118" s="240"/>
      <c r="F118" s="241"/>
      <c r="G118" s="89"/>
      <c r="H118" s="89"/>
      <c r="I118" s="89"/>
    </row>
    <row r="119" spans="1:9">
      <c r="A119" s="238"/>
      <c r="B119" s="239"/>
      <c r="C119" s="239"/>
      <c r="D119" s="240"/>
      <c r="E119" s="240"/>
      <c r="F119" s="241"/>
      <c r="G119" s="89"/>
      <c r="H119" s="89"/>
      <c r="I119" s="89"/>
    </row>
    <row r="120" spans="1:9">
      <c r="A120" s="238"/>
      <c r="B120" s="239"/>
      <c r="C120" s="239"/>
      <c r="D120" s="240"/>
      <c r="E120" s="240"/>
      <c r="F120" s="241"/>
      <c r="G120" s="89"/>
      <c r="H120" s="89"/>
      <c r="I120" s="89"/>
    </row>
    <row r="121" spans="1:9">
      <c r="A121" s="238"/>
      <c r="B121" s="239"/>
      <c r="C121" s="239"/>
      <c r="D121" s="240"/>
      <c r="E121" s="240"/>
      <c r="F121" s="241"/>
      <c r="G121" s="89"/>
      <c r="H121" s="89"/>
      <c r="I121" s="89"/>
    </row>
    <row r="122" spans="1:9">
      <c r="A122" s="238"/>
      <c r="B122" s="239"/>
      <c r="C122" s="239"/>
      <c r="D122" s="240"/>
      <c r="E122" s="240"/>
      <c r="F122" s="241"/>
      <c r="G122" s="89"/>
      <c r="H122" s="89"/>
      <c r="I122" s="89"/>
    </row>
    <row r="123" spans="1:9">
      <c r="A123" s="238"/>
      <c r="B123" s="239"/>
      <c r="C123" s="239"/>
      <c r="D123" s="240"/>
      <c r="E123" s="240"/>
      <c r="F123" s="241"/>
      <c r="G123" s="89"/>
      <c r="H123" s="89"/>
      <c r="I123" s="89"/>
    </row>
    <row r="124" spans="1:9">
      <c r="A124" s="238"/>
      <c r="B124" s="239"/>
      <c r="C124" s="239"/>
      <c r="D124" s="240"/>
      <c r="E124" s="240"/>
      <c r="F124" s="241"/>
      <c r="G124" s="89"/>
      <c r="H124" s="89"/>
      <c r="I124" s="89"/>
    </row>
    <row r="125" spans="1:9">
      <c r="A125" s="238"/>
      <c r="B125" s="239"/>
      <c r="C125" s="239"/>
      <c r="D125" s="240"/>
      <c r="E125" s="240"/>
      <c r="F125" s="241"/>
      <c r="G125" s="89"/>
      <c r="H125" s="89"/>
      <c r="I125" s="89"/>
    </row>
    <row r="126" spans="1:9">
      <c r="A126" s="238"/>
      <c r="B126" s="239"/>
      <c r="C126" s="239"/>
      <c r="D126" s="240"/>
      <c r="E126" s="240"/>
      <c r="F126" s="241"/>
      <c r="G126" s="89"/>
      <c r="H126" s="89"/>
      <c r="I126" s="89"/>
    </row>
    <row r="127" spans="1:9">
      <c r="A127" s="238"/>
      <c r="B127" s="239"/>
      <c r="C127" s="239"/>
      <c r="D127" s="240"/>
      <c r="E127" s="240"/>
      <c r="F127" s="241"/>
      <c r="G127" s="89"/>
      <c r="H127" s="89"/>
      <c r="I127" s="89"/>
    </row>
    <row r="128" spans="1:9">
      <c r="A128" s="238"/>
      <c r="B128" s="239"/>
      <c r="C128" s="239"/>
      <c r="D128" s="240"/>
      <c r="E128" s="240"/>
      <c r="F128" s="241"/>
      <c r="G128" s="89"/>
      <c r="H128" s="89"/>
      <c r="I128" s="89"/>
    </row>
    <row r="129" spans="1:9">
      <c r="A129" s="238"/>
      <c r="B129" s="239"/>
      <c r="C129" s="239"/>
      <c r="D129" s="240"/>
      <c r="E129" s="240"/>
      <c r="F129" s="241"/>
      <c r="G129" s="89"/>
      <c r="H129" s="89"/>
      <c r="I129" s="89"/>
    </row>
    <row r="130" spans="1:9">
      <c r="A130" s="238"/>
      <c r="B130" s="239"/>
      <c r="C130" s="239"/>
      <c r="D130" s="240"/>
      <c r="E130" s="240"/>
      <c r="F130" s="241"/>
      <c r="G130" s="89"/>
      <c r="H130" s="89"/>
      <c r="I130" s="89"/>
    </row>
    <row r="131" spans="1:9">
      <c r="A131" s="238"/>
      <c r="B131" s="239"/>
      <c r="C131" s="239"/>
      <c r="D131" s="240"/>
      <c r="E131" s="240"/>
      <c r="F131" s="241"/>
      <c r="G131" s="89"/>
      <c r="H131" s="89"/>
      <c r="I131" s="89"/>
    </row>
    <row r="132" spans="1:9">
      <c r="A132" s="238"/>
      <c r="B132" s="239"/>
      <c r="C132" s="239"/>
      <c r="D132" s="240"/>
      <c r="E132" s="240"/>
      <c r="F132" s="241"/>
      <c r="G132" s="89"/>
      <c r="H132" s="89"/>
      <c r="I132" s="89"/>
    </row>
    <row r="133" spans="1:9">
      <c r="A133" s="238"/>
      <c r="B133" s="239"/>
      <c r="C133" s="239"/>
      <c r="D133" s="240"/>
      <c r="E133" s="240"/>
      <c r="F133" s="241"/>
      <c r="G133" s="89"/>
      <c r="H133" s="89"/>
      <c r="I133" s="89"/>
    </row>
    <row r="134" spans="1:9">
      <c r="A134" s="238"/>
      <c r="B134" s="242"/>
      <c r="C134" s="242"/>
      <c r="D134" s="242"/>
      <c r="E134" s="242"/>
      <c r="F134" s="243"/>
      <c r="G134" s="89"/>
      <c r="H134" s="89"/>
      <c r="I134" s="89"/>
    </row>
    <row r="135" spans="1:9">
      <c r="A135" s="238"/>
      <c r="B135" s="242"/>
      <c r="C135" s="242"/>
      <c r="D135" s="242"/>
      <c r="E135" s="242"/>
      <c r="F135" s="243"/>
      <c r="G135" s="89"/>
      <c r="H135" s="89"/>
      <c r="I135" s="89"/>
    </row>
    <row r="136" spans="1:9">
      <c r="A136" s="238"/>
      <c r="B136" s="242"/>
      <c r="C136" s="242"/>
      <c r="D136" s="242"/>
      <c r="E136" s="242"/>
      <c r="F136" s="243"/>
      <c r="G136" s="89"/>
      <c r="H136" s="89"/>
      <c r="I136" s="89"/>
    </row>
    <row r="137" spans="1:9">
      <c r="A137" s="238"/>
      <c r="B137" s="239"/>
      <c r="C137" s="239"/>
      <c r="D137" s="240"/>
      <c r="E137" s="240"/>
      <c r="F137" s="241"/>
      <c r="G137" s="89"/>
      <c r="H137" s="89"/>
      <c r="I137" s="89"/>
    </row>
    <row r="138" spans="1:9">
      <c r="A138" s="238"/>
      <c r="B138" s="239"/>
      <c r="C138" s="239"/>
      <c r="D138" s="240"/>
      <c r="E138" s="240"/>
      <c r="F138" s="241"/>
      <c r="G138" s="89"/>
      <c r="H138" s="89"/>
      <c r="I138" s="89"/>
    </row>
    <row r="139" spans="1:9">
      <c r="A139" s="238"/>
      <c r="B139" s="239"/>
      <c r="C139" s="239"/>
      <c r="D139" s="240"/>
      <c r="E139" s="240"/>
      <c r="F139" s="241"/>
      <c r="G139" s="89"/>
      <c r="H139" s="89"/>
      <c r="I139" s="89"/>
    </row>
    <row r="140" spans="1:9">
      <c r="A140" s="238"/>
      <c r="B140" s="239"/>
      <c r="C140" s="239"/>
      <c r="D140" s="240"/>
      <c r="E140" s="240"/>
      <c r="F140" s="241"/>
      <c r="G140" s="89"/>
      <c r="H140" s="89"/>
      <c r="I140" s="89"/>
    </row>
    <row r="141" spans="1:9">
      <c r="A141" s="238"/>
      <c r="B141" s="239"/>
      <c r="C141" s="239"/>
      <c r="D141" s="240"/>
      <c r="E141" s="240"/>
      <c r="F141" s="241"/>
      <c r="G141" s="89"/>
      <c r="H141" s="89"/>
      <c r="I141" s="89"/>
    </row>
    <row r="142" spans="1:9">
      <c r="A142" s="238"/>
      <c r="B142" s="239"/>
      <c r="C142" s="239"/>
      <c r="D142" s="240"/>
      <c r="E142" s="240"/>
      <c r="F142" s="241"/>
      <c r="G142" s="89"/>
      <c r="H142" s="89"/>
      <c r="I142" s="89"/>
    </row>
    <row r="143" spans="1:9">
      <c r="A143" s="238"/>
      <c r="B143" s="239"/>
      <c r="C143" s="239"/>
      <c r="D143" s="240"/>
      <c r="E143" s="240"/>
      <c r="F143" s="241"/>
      <c r="G143" s="89"/>
      <c r="H143" s="89"/>
      <c r="I143" s="89"/>
    </row>
    <row r="144" spans="1:9">
      <c r="A144" s="238"/>
      <c r="B144" s="239"/>
      <c r="C144" s="239"/>
      <c r="D144" s="240"/>
      <c r="E144" s="240"/>
      <c r="F144" s="241"/>
      <c r="G144" s="89"/>
      <c r="H144" s="89"/>
      <c r="I144" s="89"/>
    </row>
    <row r="145" spans="1:9">
      <c r="A145" s="238"/>
      <c r="B145" s="239"/>
      <c r="C145" s="239"/>
      <c r="D145" s="240"/>
      <c r="E145" s="240"/>
      <c r="F145" s="241"/>
      <c r="G145" s="89"/>
      <c r="H145" s="89"/>
      <c r="I145" s="89"/>
    </row>
    <row r="146" spans="1:9">
      <c r="A146" s="238"/>
      <c r="B146" s="239"/>
      <c r="C146" s="239"/>
      <c r="D146" s="240"/>
      <c r="E146" s="240"/>
      <c r="F146" s="241"/>
      <c r="G146" s="89"/>
      <c r="H146" s="89"/>
      <c r="I146" s="89"/>
    </row>
    <row r="147" spans="1:9">
      <c r="A147" s="238"/>
      <c r="B147" s="239"/>
      <c r="C147" s="239"/>
      <c r="D147" s="240"/>
      <c r="E147" s="240"/>
      <c r="F147" s="241"/>
      <c r="G147" s="89"/>
      <c r="H147" s="89"/>
      <c r="I147" s="89"/>
    </row>
    <row r="148" spans="1:9">
      <c r="A148" s="238"/>
      <c r="B148" s="239"/>
      <c r="C148" s="239"/>
      <c r="D148" s="240"/>
      <c r="E148" s="240"/>
      <c r="F148" s="241"/>
      <c r="G148" s="89"/>
      <c r="H148" s="89"/>
      <c r="I148" s="89"/>
    </row>
    <row r="149" spans="1:9">
      <c r="A149" s="238"/>
      <c r="B149" s="239"/>
      <c r="C149" s="239"/>
      <c r="D149" s="240"/>
      <c r="E149" s="240"/>
      <c r="F149" s="241"/>
      <c r="G149" s="89"/>
      <c r="H149" s="89"/>
      <c r="I149" s="89"/>
    </row>
    <row r="150" spans="1:9">
      <c r="A150" s="238"/>
      <c r="B150" s="239"/>
      <c r="C150" s="239"/>
      <c r="D150" s="240"/>
      <c r="E150" s="240"/>
      <c r="F150" s="241"/>
      <c r="G150" s="89"/>
      <c r="H150" s="89"/>
      <c r="I150" s="89"/>
    </row>
    <row r="151" spans="1:9">
      <c r="A151" s="238"/>
      <c r="B151" s="239"/>
      <c r="C151" s="239"/>
      <c r="D151" s="240"/>
      <c r="E151" s="240"/>
      <c r="F151" s="241"/>
      <c r="G151" s="89"/>
      <c r="H151" s="89"/>
      <c r="I151" s="89"/>
    </row>
    <row r="152" spans="1:9">
      <c r="A152" s="238"/>
      <c r="B152" s="239"/>
      <c r="C152" s="239"/>
      <c r="D152" s="240"/>
      <c r="E152" s="240"/>
      <c r="F152" s="241"/>
      <c r="G152" s="89"/>
      <c r="H152" s="89"/>
      <c r="I152" s="89"/>
    </row>
    <row r="153" spans="1:9">
      <c r="A153" s="238"/>
      <c r="B153" s="239"/>
      <c r="C153" s="239"/>
      <c r="D153" s="240"/>
      <c r="E153" s="240"/>
      <c r="F153" s="241"/>
      <c r="G153" s="89"/>
      <c r="H153" s="89"/>
      <c r="I153" s="89"/>
    </row>
    <row r="154" spans="1:9">
      <c r="A154" s="238"/>
      <c r="B154" s="239"/>
      <c r="C154" s="239"/>
      <c r="D154" s="240"/>
      <c r="E154" s="240"/>
      <c r="F154" s="241"/>
      <c r="G154" s="89"/>
      <c r="H154" s="89"/>
      <c r="I154" s="89"/>
    </row>
    <row r="155" spans="1:9">
      <c r="A155" s="238"/>
      <c r="B155" s="239"/>
      <c r="C155" s="239"/>
      <c r="D155" s="240"/>
      <c r="E155" s="240"/>
      <c r="F155" s="241"/>
      <c r="G155" s="89"/>
      <c r="H155" s="89"/>
      <c r="I155" s="89"/>
    </row>
    <row r="156" spans="1:9">
      <c r="A156" s="238"/>
      <c r="B156" s="239"/>
      <c r="C156" s="239"/>
      <c r="D156" s="240"/>
      <c r="E156" s="240"/>
      <c r="F156" s="241"/>
      <c r="G156" s="89"/>
      <c r="H156" s="89"/>
      <c r="I156" s="89"/>
    </row>
    <row r="157" spans="1:9">
      <c r="A157" s="238"/>
      <c r="B157" s="239"/>
      <c r="C157" s="239"/>
      <c r="D157" s="240"/>
      <c r="E157" s="240"/>
      <c r="F157" s="241"/>
      <c r="G157" s="89"/>
      <c r="H157" s="89"/>
      <c r="I157" s="89"/>
    </row>
    <row r="158" spans="1:9">
      <c r="A158" s="238"/>
      <c r="B158" s="239"/>
      <c r="C158" s="239"/>
      <c r="D158" s="240"/>
      <c r="E158" s="240"/>
      <c r="F158" s="241"/>
      <c r="G158" s="89"/>
      <c r="H158" s="89"/>
      <c r="I158" s="89"/>
    </row>
    <row r="159" spans="1:9">
      <c r="A159" s="238"/>
      <c r="B159" s="239"/>
      <c r="C159" s="239"/>
      <c r="D159" s="240"/>
      <c r="E159" s="240"/>
      <c r="F159" s="241"/>
      <c r="G159" s="89"/>
      <c r="H159" s="89"/>
      <c r="I159" s="89"/>
    </row>
    <row r="160" spans="1:9">
      <c r="A160" s="238"/>
      <c r="B160" s="239"/>
      <c r="C160" s="239"/>
      <c r="D160" s="240"/>
      <c r="E160" s="240"/>
      <c r="F160" s="241"/>
      <c r="G160" s="89"/>
      <c r="H160" s="89"/>
      <c r="I160" s="89"/>
    </row>
    <row r="161" spans="1:9">
      <c r="A161" s="238"/>
      <c r="B161" s="239"/>
      <c r="C161" s="239"/>
      <c r="D161" s="240"/>
      <c r="E161" s="240"/>
      <c r="F161" s="241"/>
      <c r="G161" s="89"/>
      <c r="H161" s="89"/>
      <c r="I161" s="89"/>
    </row>
    <row r="162" spans="1:9">
      <c r="A162" s="238"/>
      <c r="B162" s="239"/>
      <c r="C162" s="239"/>
      <c r="D162" s="240"/>
      <c r="E162" s="240"/>
      <c r="F162" s="241"/>
      <c r="G162" s="89"/>
      <c r="H162" s="89"/>
      <c r="I162" s="89"/>
    </row>
    <row r="163" spans="1:9">
      <c r="A163" s="238"/>
      <c r="B163" s="239"/>
      <c r="C163" s="239"/>
      <c r="D163" s="240"/>
      <c r="E163" s="240"/>
      <c r="F163" s="241"/>
      <c r="G163" s="89"/>
      <c r="H163" s="89"/>
      <c r="I163" s="89"/>
    </row>
    <row r="164" spans="1:9">
      <c r="A164" s="238"/>
      <c r="B164" s="239"/>
      <c r="C164" s="239"/>
      <c r="D164" s="240"/>
      <c r="E164" s="240"/>
      <c r="F164" s="241"/>
      <c r="G164" s="89"/>
      <c r="H164" s="89"/>
      <c r="I164" s="89"/>
    </row>
    <row r="165" spans="1:9">
      <c r="A165" s="238"/>
      <c r="B165" s="242"/>
      <c r="C165" s="242"/>
      <c r="D165" s="242"/>
      <c r="E165" s="242"/>
      <c r="F165" s="243"/>
      <c r="G165" s="89"/>
      <c r="H165" s="89"/>
      <c r="I165" s="89"/>
    </row>
    <row r="166" spans="1:9">
      <c r="A166" s="238"/>
      <c r="B166" s="242"/>
      <c r="C166" s="242"/>
      <c r="D166" s="242"/>
      <c r="E166" s="242"/>
      <c r="F166" s="243"/>
      <c r="G166" s="89"/>
      <c r="H166" s="89"/>
      <c r="I166" s="89"/>
    </row>
    <row r="167" spans="1:9">
      <c r="A167" s="238"/>
      <c r="B167" s="242"/>
      <c r="C167" s="242"/>
      <c r="D167" s="242"/>
      <c r="E167" s="242"/>
      <c r="F167" s="243"/>
      <c r="G167" s="89"/>
      <c r="H167" s="89"/>
      <c r="I167" s="89"/>
    </row>
    <row r="168" spans="1:9">
      <c r="A168" s="238"/>
      <c r="B168" s="239"/>
      <c r="C168" s="239"/>
      <c r="D168" s="240"/>
      <c r="E168" s="240"/>
      <c r="F168" s="241"/>
      <c r="G168" s="89"/>
      <c r="H168" s="89"/>
      <c r="I168" s="89"/>
    </row>
    <row r="169" spans="1:9">
      <c r="A169" s="238"/>
      <c r="B169" s="239"/>
      <c r="C169" s="239"/>
      <c r="D169" s="240"/>
      <c r="E169" s="240"/>
      <c r="F169" s="241"/>
      <c r="G169" s="89"/>
      <c r="H169" s="89"/>
      <c r="I169" s="89"/>
    </row>
    <row r="170" spans="1:9">
      <c r="A170" s="238"/>
      <c r="B170" s="239"/>
      <c r="C170" s="239"/>
      <c r="D170" s="240"/>
      <c r="E170" s="240"/>
      <c r="F170" s="241"/>
      <c r="G170" s="89"/>
      <c r="H170" s="89"/>
      <c r="I170" s="89"/>
    </row>
    <row r="171" spans="1:9">
      <c r="A171" s="238"/>
      <c r="B171" s="239"/>
      <c r="C171" s="239"/>
      <c r="D171" s="240"/>
      <c r="E171" s="240"/>
      <c r="F171" s="241"/>
      <c r="G171" s="89"/>
      <c r="H171" s="89"/>
      <c r="I171" s="89"/>
    </row>
    <row r="172" spans="1:9">
      <c r="A172" s="238"/>
      <c r="B172" s="239"/>
      <c r="C172" s="239"/>
      <c r="D172" s="240"/>
      <c r="E172" s="240"/>
      <c r="F172" s="241"/>
      <c r="G172" s="89"/>
      <c r="H172" s="89"/>
      <c r="I172" s="89"/>
    </row>
    <row r="173" spans="1:9">
      <c r="A173" s="238"/>
      <c r="B173" s="239"/>
      <c r="C173" s="239"/>
      <c r="D173" s="240"/>
      <c r="E173" s="240"/>
      <c r="F173" s="241"/>
      <c r="G173" s="89"/>
      <c r="H173" s="89"/>
      <c r="I173" s="89"/>
    </row>
    <row r="174" spans="1:9">
      <c r="A174" s="238"/>
      <c r="B174" s="239"/>
      <c r="C174" s="239"/>
      <c r="D174" s="240"/>
      <c r="E174" s="240"/>
      <c r="F174" s="241"/>
      <c r="G174" s="89"/>
      <c r="H174" s="89"/>
      <c r="I174" s="89"/>
    </row>
    <row r="175" spans="1:9">
      <c r="A175" s="238"/>
      <c r="B175" s="239"/>
      <c r="C175" s="239"/>
      <c r="D175" s="240"/>
      <c r="E175" s="240"/>
      <c r="F175" s="241"/>
      <c r="G175" s="89"/>
      <c r="H175" s="89"/>
      <c r="I175" s="89"/>
    </row>
    <row r="176" spans="1:9">
      <c r="A176" s="238"/>
      <c r="B176" s="239"/>
      <c r="C176" s="239"/>
      <c r="D176" s="240"/>
      <c r="E176" s="240"/>
      <c r="F176" s="241"/>
      <c r="G176" s="89"/>
      <c r="H176" s="89"/>
      <c r="I176" s="89"/>
    </row>
    <row r="177" spans="1:9">
      <c r="A177" s="238"/>
      <c r="B177" s="239"/>
      <c r="C177" s="239"/>
      <c r="D177" s="240"/>
      <c r="E177" s="240"/>
      <c r="F177" s="241"/>
      <c r="G177" s="89"/>
      <c r="H177" s="89"/>
      <c r="I177" s="89"/>
    </row>
    <row r="178" spans="1:9">
      <c r="A178" s="238"/>
      <c r="B178" s="239"/>
      <c r="C178" s="239"/>
      <c r="D178" s="240"/>
      <c r="E178" s="240"/>
      <c r="F178" s="241"/>
      <c r="G178" s="89"/>
      <c r="H178" s="89"/>
      <c r="I178" s="89"/>
    </row>
    <row r="179" spans="1:9">
      <c r="A179" s="238"/>
      <c r="B179" s="239"/>
      <c r="C179" s="239"/>
      <c r="D179" s="240"/>
      <c r="E179" s="240"/>
      <c r="F179" s="241"/>
      <c r="G179" s="89"/>
      <c r="H179" s="89"/>
      <c r="I179" s="89"/>
    </row>
    <row r="180" spans="1:9">
      <c r="A180" s="238"/>
      <c r="B180" s="239"/>
      <c r="C180" s="239"/>
      <c r="D180" s="240"/>
      <c r="E180" s="240"/>
      <c r="F180" s="241"/>
      <c r="G180" s="89"/>
      <c r="H180" s="89"/>
      <c r="I180" s="89"/>
    </row>
    <row r="181" spans="1:9">
      <c r="A181" s="238"/>
      <c r="B181" s="239"/>
      <c r="C181" s="239"/>
      <c r="D181" s="240"/>
      <c r="E181" s="240"/>
      <c r="F181" s="241"/>
      <c r="G181" s="89"/>
      <c r="H181" s="89"/>
      <c r="I181" s="89"/>
    </row>
    <row r="182" spans="1:9">
      <c r="A182" s="238"/>
      <c r="B182" s="239"/>
      <c r="C182" s="239"/>
      <c r="D182" s="240"/>
      <c r="E182" s="240"/>
      <c r="F182" s="241"/>
      <c r="G182" s="89"/>
      <c r="H182" s="89"/>
      <c r="I182" s="89"/>
    </row>
    <row r="183" spans="1:9">
      <c r="A183" s="238"/>
      <c r="B183" s="239"/>
      <c r="C183" s="239"/>
      <c r="D183" s="240"/>
      <c r="E183" s="240"/>
      <c r="F183" s="241"/>
      <c r="G183" s="89"/>
      <c r="H183" s="89"/>
      <c r="I183" s="89"/>
    </row>
    <row r="184" spans="1:9">
      <c r="A184" s="238"/>
      <c r="B184" s="239"/>
      <c r="C184" s="239"/>
      <c r="D184" s="240"/>
      <c r="E184" s="240"/>
      <c r="F184" s="241"/>
      <c r="G184" s="89"/>
      <c r="H184" s="89"/>
      <c r="I184" s="89"/>
    </row>
    <row r="185" spans="1:9">
      <c r="A185" s="238"/>
      <c r="B185" s="239"/>
      <c r="C185" s="239"/>
      <c r="D185" s="240"/>
      <c r="E185" s="240"/>
      <c r="F185" s="241"/>
      <c r="G185" s="89"/>
      <c r="H185" s="89"/>
      <c r="I185" s="89"/>
    </row>
    <row r="186" spans="1:9">
      <c r="A186" s="238"/>
      <c r="B186" s="239"/>
      <c r="C186" s="239"/>
      <c r="D186" s="240"/>
      <c r="E186" s="240"/>
      <c r="F186" s="241"/>
      <c r="G186" s="89"/>
      <c r="H186" s="89"/>
      <c r="I186" s="89"/>
    </row>
    <row r="187" spans="1:9">
      <c r="A187" s="238"/>
      <c r="B187" s="239"/>
      <c r="C187" s="239"/>
      <c r="D187" s="240"/>
      <c r="E187" s="240"/>
      <c r="F187" s="241"/>
      <c r="G187" s="89"/>
      <c r="H187" s="89"/>
      <c r="I187" s="89"/>
    </row>
    <row r="188" spans="1:9">
      <c r="A188" s="238"/>
      <c r="B188" s="239"/>
      <c r="C188" s="239"/>
      <c r="D188" s="240"/>
      <c r="E188" s="240"/>
      <c r="F188" s="241"/>
      <c r="G188" s="89"/>
      <c r="H188" s="89"/>
      <c r="I188" s="89"/>
    </row>
    <row r="189" spans="1:9">
      <c r="A189" s="238"/>
      <c r="B189" s="239"/>
      <c r="C189" s="239"/>
      <c r="D189" s="240"/>
      <c r="E189" s="240"/>
      <c r="F189" s="241"/>
      <c r="G189" s="89"/>
      <c r="H189" s="89"/>
      <c r="I189" s="89"/>
    </row>
    <row r="190" spans="1:9">
      <c r="A190" s="238"/>
      <c r="B190" s="239"/>
      <c r="C190" s="239"/>
      <c r="D190" s="240"/>
      <c r="E190" s="240"/>
      <c r="F190" s="241"/>
      <c r="G190" s="89"/>
      <c r="H190" s="89"/>
      <c r="I190" s="89"/>
    </row>
    <row r="191" spans="1:9">
      <c r="A191" s="238"/>
      <c r="B191" s="239"/>
      <c r="C191" s="239"/>
      <c r="D191" s="240"/>
      <c r="E191" s="240"/>
      <c r="F191" s="241"/>
      <c r="G191" s="89"/>
      <c r="H191" s="89"/>
      <c r="I191" s="89"/>
    </row>
    <row r="192" spans="1:9">
      <c r="A192" s="238"/>
      <c r="B192" s="239"/>
      <c r="C192" s="239"/>
      <c r="D192" s="240"/>
      <c r="E192" s="240"/>
      <c r="F192" s="241"/>
      <c r="G192" s="89"/>
      <c r="H192" s="89"/>
      <c r="I192" s="89"/>
    </row>
    <row r="193" spans="1:9">
      <c r="A193" s="238"/>
      <c r="B193" s="239"/>
      <c r="C193" s="239"/>
      <c r="D193" s="240"/>
      <c r="E193" s="240"/>
      <c r="F193" s="241"/>
      <c r="G193" s="89"/>
      <c r="H193" s="89"/>
      <c r="I193" s="89"/>
    </row>
    <row r="194" spans="1:9">
      <c r="A194" s="238"/>
      <c r="B194" s="239"/>
      <c r="C194" s="239"/>
      <c r="D194" s="240"/>
      <c r="E194" s="240"/>
      <c r="F194" s="241"/>
      <c r="G194" s="89"/>
      <c r="H194" s="89"/>
      <c r="I194" s="89"/>
    </row>
    <row r="195" spans="1:9">
      <c r="A195" s="238"/>
      <c r="B195" s="239"/>
      <c r="C195" s="239"/>
      <c r="D195" s="240"/>
      <c r="E195" s="240"/>
      <c r="F195" s="241"/>
      <c r="G195" s="89"/>
      <c r="H195" s="89"/>
      <c r="I195" s="89"/>
    </row>
    <row r="196" spans="1:9">
      <c r="A196" s="238"/>
      <c r="B196" s="242"/>
      <c r="C196" s="242"/>
      <c r="D196" s="242"/>
      <c r="E196" s="242"/>
      <c r="F196" s="243"/>
      <c r="G196" s="89"/>
      <c r="H196" s="89"/>
      <c r="I196" s="89"/>
    </row>
    <row r="197" spans="1:9">
      <c r="A197" s="238"/>
      <c r="B197" s="242"/>
      <c r="C197" s="242"/>
      <c r="D197" s="242"/>
      <c r="E197" s="242"/>
      <c r="F197" s="243"/>
      <c r="G197" s="89"/>
      <c r="H197" s="89"/>
      <c r="I197" s="89"/>
    </row>
    <row r="198" spans="1:9">
      <c r="A198" s="238"/>
      <c r="B198" s="242"/>
      <c r="C198" s="242"/>
      <c r="D198" s="242"/>
      <c r="E198" s="242"/>
      <c r="F198" s="243"/>
      <c r="G198" s="89"/>
      <c r="H198" s="89"/>
      <c r="I198" s="89"/>
    </row>
    <row r="199" spans="1:9">
      <c r="A199" s="238"/>
      <c r="B199" s="239"/>
      <c r="C199" s="239"/>
      <c r="D199" s="240"/>
      <c r="E199" s="240"/>
      <c r="F199" s="241"/>
      <c r="G199" s="89"/>
      <c r="H199" s="89"/>
      <c r="I199" s="89"/>
    </row>
    <row r="200" spans="1:9">
      <c r="A200" s="238"/>
      <c r="B200" s="239"/>
      <c r="C200" s="239"/>
      <c r="D200" s="240"/>
      <c r="E200" s="240"/>
      <c r="F200" s="241"/>
      <c r="G200" s="89"/>
      <c r="H200" s="89"/>
      <c r="I200" s="89"/>
    </row>
    <row r="201" spans="1:9">
      <c r="A201" s="238"/>
      <c r="B201" s="239"/>
      <c r="C201" s="239"/>
      <c r="D201" s="240"/>
      <c r="E201" s="240"/>
      <c r="F201" s="241"/>
      <c r="G201" s="89"/>
      <c r="H201" s="89"/>
      <c r="I201" s="89"/>
    </row>
    <row r="202" spans="1:9">
      <c r="A202" s="238"/>
      <c r="B202" s="239"/>
      <c r="C202" s="239"/>
      <c r="D202" s="240"/>
      <c r="E202" s="240"/>
      <c r="F202" s="241"/>
      <c r="G202" s="89"/>
      <c r="H202" s="89"/>
      <c r="I202" s="89"/>
    </row>
    <row r="203" spans="1:9">
      <c r="A203" s="238"/>
      <c r="B203" s="239"/>
      <c r="C203" s="239"/>
      <c r="D203" s="240"/>
      <c r="E203" s="240"/>
      <c r="F203" s="241"/>
      <c r="G203" s="89"/>
      <c r="H203" s="89"/>
      <c r="I203" s="89"/>
    </row>
    <row r="204" spans="1:9">
      <c r="A204" s="238"/>
      <c r="B204" s="239"/>
      <c r="C204" s="239"/>
      <c r="D204" s="240"/>
      <c r="E204" s="240"/>
      <c r="F204" s="241"/>
      <c r="G204" s="89"/>
      <c r="H204" s="89"/>
      <c r="I204" s="89"/>
    </row>
    <row r="205" spans="1:9">
      <c r="A205" s="238"/>
      <c r="B205" s="239"/>
      <c r="C205" s="239"/>
      <c r="D205" s="240"/>
      <c r="E205" s="240"/>
      <c r="F205" s="241"/>
      <c r="G205" s="89"/>
      <c r="H205" s="89"/>
      <c r="I205" s="89"/>
    </row>
    <row r="206" spans="1:9">
      <c r="A206" s="238"/>
      <c r="B206" s="239"/>
      <c r="C206" s="239"/>
      <c r="D206" s="240"/>
      <c r="E206" s="240"/>
      <c r="F206" s="241"/>
      <c r="G206" s="89"/>
      <c r="H206" s="89"/>
      <c r="I206" s="89"/>
    </row>
    <row r="207" spans="1:9">
      <c r="A207" s="238"/>
      <c r="B207" s="239"/>
      <c r="C207" s="239"/>
      <c r="D207" s="240"/>
      <c r="E207" s="240"/>
      <c r="F207" s="241"/>
      <c r="G207" s="89"/>
      <c r="H207" s="89"/>
      <c r="I207" s="89"/>
    </row>
    <row r="208" spans="1:9">
      <c r="A208" s="238"/>
      <c r="B208" s="239"/>
      <c r="C208" s="239"/>
      <c r="D208" s="240"/>
      <c r="E208" s="240"/>
      <c r="F208" s="241"/>
      <c r="G208" s="89"/>
      <c r="H208" s="89"/>
      <c r="I208" s="89"/>
    </row>
    <row r="209" spans="1:9">
      <c r="A209" s="238"/>
      <c r="B209" s="239"/>
      <c r="C209" s="239"/>
      <c r="D209" s="240"/>
      <c r="E209" s="240"/>
      <c r="F209" s="241"/>
      <c r="G209" s="89"/>
      <c r="H209" s="89"/>
      <c r="I209" s="89"/>
    </row>
    <row r="210" spans="1:9">
      <c r="A210" s="238"/>
      <c r="B210" s="239"/>
      <c r="C210" s="239"/>
      <c r="D210" s="240"/>
      <c r="E210" s="240"/>
      <c r="F210" s="241"/>
      <c r="G210" s="89"/>
      <c r="H210" s="89"/>
      <c r="I210" s="89"/>
    </row>
    <row r="211" spans="1:9">
      <c r="A211" s="238"/>
      <c r="B211" s="239"/>
      <c r="C211" s="239"/>
      <c r="D211" s="240"/>
      <c r="E211" s="240"/>
      <c r="F211" s="241"/>
      <c r="G211" s="89"/>
      <c r="H211" s="89"/>
      <c r="I211" s="89"/>
    </row>
    <row r="212" spans="1:9">
      <c r="A212" s="238"/>
      <c r="B212" s="239"/>
      <c r="C212" s="239"/>
      <c r="D212" s="240"/>
      <c r="E212" s="240"/>
      <c r="F212" s="241"/>
      <c r="G212" s="89"/>
      <c r="H212" s="89"/>
      <c r="I212" s="89"/>
    </row>
    <row r="213" spans="1:9">
      <c r="A213" s="238"/>
      <c r="B213" s="239"/>
      <c r="C213" s="239"/>
      <c r="D213" s="240"/>
      <c r="E213" s="240"/>
      <c r="F213" s="241"/>
      <c r="G213" s="89"/>
      <c r="H213" s="89"/>
      <c r="I213" s="89"/>
    </row>
    <row r="214" spans="1:9">
      <c r="A214" s="238"/>
      <c r="B214" s="239"/>
      <c r="C214" s="239"/>
      <c r="D214" s="240"/>
      <c r="E214" s="240"/>
      <c r="F214" s="241"/>
      <c r="G214" s="89"/>
      <c r="H214" s="89"/>
      <c r="I214" s="89"/>
    </row>
    <row r="215" spans="1:9">
      <c r="A215" s="238"/>
      <c r="B215" s="239"/>
      <c r="C215" s="239"/>
      <c r="D215" s="240"/>
      <c r="E215" s="240"/>
      <c r="F215" s="241"/>
      <c r="G215" s="89"/>
      <c r="H215" s="89"/>
      <c r="I215" s="89"/>
    </row>
    <row r="216" spans="1:9">
      <c r="A216" s="238"/>
      <c r="B216" s="239"/>
      <c r="C216" s="239"/>
      <c r="D216" s="240"/>
      <c r="E216" s="240"/>
      <c r="F216" s="241"/>
      <c r="G216" s="89"/>
      <c r="H216" s="89"/>
      <c r="I216" s="89"/>
    </row>
    <row r="217" spans="1:9">
      <c r="A217" s="238"/>
      <c r="B217" s="239"/>
      <c r="C217" s="239"/>
      <c r="D217" s="240"/>
      <c r="E217" s="240"/>
      <c r="F217" s="241"/>
      <c r="G217" s="89"/>
      <c r="H217" s="89"/>
      <c r="I217" s="89"/>
    </row>
    <row r="218" spans="1:9">
      <c r="A218" s="238"/>
      <c r="B218" s="239"/>
      <c r="C218" s="239"/>
      <c r="D218" s="240"/>
      <c r="E218" s="240"/>
      <c r="F218" s="241"/>
      <c r="G218" s="89"/>
      <c r="H218" s="89"/>
      <c r="I218" s="89"/>
    </row>
    <row r="219" spans="1:9">
      <c r="A219" s="238"/>
      <c r="B219" s="239"/>
      <c r="C219" s="239"/>
      <c r="D219" s="240"/>
      <c r="E219" s="240"/>
      <c r="F219" s="241"/>
      <c r="G219" s="89"/>
      <c r="H219" s="89"/>
      <c r="I219" s="89"/>
    </row>
    <row r="220" spans="1:9">
      <c r="A220" s="238"/>
      <c r="B220" s="239"/>
      <c r="C220" s="239"/>
      <c r="D220" s="240"/>
      <c r="E220" s="240"/>
      <c r="F220" s="241"/>
      <c r="G220" s="89"/>
      <c r="H220" s="89"/>
      <c r="I220" s="89"/>
    </row>
    <row r="221" spans="1:9">
      <c r="A221" s="238"/>
      <c r="B221" s="239"/>
      <c r="C221" s="239"/>
      <c r="D221" s="240"/>
      <c r="E221" s="240"/>
      <c r="F221" s="241"/>
      <c r="G221" s="89"/>
      <c r="H221" s="89"/>
      <c r="I221" s="89"/>
    </row>
    <row r="222" spans="1:9">
      <c r="A222" s="238"/>
      <c r="B222" s="239"/>
      <c r="C222" s="239"/>
      <c r="D222" s="240"/>
      <c r="E222" s="240"/>
      <c r="F222" s="241"/>
      <c r="G222" s="89"/>
      <c r="H222" s="89"/>
      <c r="I222" s="89"/>
    </row>
    <row r="223" spans="1:9">
      <c r="A223" s="238"/>
      <c r="B223" s="239"/>
      <c r="C223" s="239"/>
      <c r="D223" s="240"/>
      <c r="E223" s="240"/>
      <c r="F223" s="241"/>
      <c r="G223" s="89"/>
      <c r="H223" s="89"/>
      <c r="I223" s="89"/>
    </row>
    <row r="224" spans="1:9">
      <c r="A224" s="238"/>
      <c r="B224" s="239"/>
      <c r="C224" s="239"/>
      <c r="D224" s="240"/>
      <c r="E224" s="240"/>
      <c r="F224" s="241"/>
      <c r="G224" s="89"/>
      <c r="H224" s="89"/>
      <c r="I224" s="89"/>
    </row>
    <row r="225" spans="1:9">
      <c r="A225" s="238"/>
      <c r="B225" s="239"/>
      <c r="C225" s="239"/>
      <c r="D225" s="240"/>
      <c r="E225" s="240"/>
      <c r="F225" s="241"/>
      <c r="G225" s="89"/>
      <c r="H225" s="89"/>
      <c r="I225" s="89"/>
    </row>
    <row r="226" spans="1:9">
      <c r="A226" s="238"/>
      <c r="B226" s="239"/>
      <c r="C226" s="239"/>
      <c r="D226" s="240"/>
      <c r="E226" s="240"/>
      <c r="F226" s="241"/>
      <c r="G226" s="89"/>
      <c r="H226" s="89"/>
      <c r="I226" s="89"/>
    </row>
    <row r="227" spans="1:9">
      <c r="A227" s="238"/>
      <c r="B227" s="242"/>
      <c r="C227" s="242"/>
      <c r="D227" s="242"/>
      <c r="E227" s="242"/>
      <c r="F227" s="243"/>
      <c r="G227" s="89"/>
      <c r="H227" s="89"/>
      <c r="I227" s="89"/>
    </row>
    <row r="228" spans="1:9">
      <c r="A228" s="238"/>
      <c r="B228" s="242"/>
      <c r="C228" s="242"/>
      <c r="D228" s="242"/>
      <c r="E228" s="242"/>
      <c r="F228" s="243"/>
      <c r="G228" s="89"/>
      <c r="H228" s="89"/>
      <c r="I228" s="89"/>
    </row>
    <row r="229" spans="1:9">
      <c r="A229" s="238"/>
      <c r="B229" s="242"/>
      <c r="C229" s="242"/>
      <c r="D229" s="242"/>
      <c r="E229" s="242"/>
      <c r="F229" s="243"/>
      <c r="G229" s="89"/>
      <c r="H229" s="89"/>
      <c r="I229" s="89"/>
    </row>
    <row r="230" spans="1:9">
      <c r="A230" s="238"/>
      <c r="B230" s="239"/>
      <c r="C230" s="239"/>
      <c r="D230" s="240"/>
      <c r="E230" s="240"/>
      <c r="F230" s="241"/>
      <c r="G230" s="89"/>
      <c r="H230" s="89"/>
      <c r="I230" s="89"/>
    </row>
    <row r="231" spans="1:9">
      <c r="A231" s="238"/>
      <c r="B231" s="239"/>
      <c r="C231" s="239"/>
      <c r="D231" s="240"/>
      <c r="E231" s="240"/>
      <c r="F231" s="241"/>
      <c r="G231" s="89"/>
      <c r="H231" s="89"/>
      <c r="I231" s="89"/>
    </row>
    <row r="232" spans="1:9">
      <c r="A232" s="238"/>
      <c r="B232" s="239"/>
      <c r="C232" s="239"/>
      <c r="D232" s="240"/>
      <c r="E232" s="240"/>
      <c r="F232" s="241"/>
      <c r="G232" s="89"/>
      <c r="H232" s="89"/>
      <c r="I232" s="89"/>
    </row>
    <row r="233" spans="1:9">
      <c r="A233" s="238"/>
      <c r="B233" s="239"/>
      <c r="C233" s="239"/>
      <c r="D233" s="240"/>
      <c r="E233" s="240"/>
      <c r="F233" s="241"/>
      <c r="G233" s="89"/>
      <c r="H233" s="89"/>
      <c r="I233" s="89"/>
    </row>
    <row r="234" spans="1:9">
      <c r="A234" s="238"/>
      <c r="B234" s="239"/>
      <c r="C234" s="239"/>
      <c r="D234" s="240"/>
      <c r="E234" s="240"/>
      <c r="F234" s="241"/>
      <c r="G234" s="89"/>
      <c r="H234" s="89"/>
      <c r="I234" s="89"/>
    </row>
    <row r="235" spans="1:9">
      <c r="A235" s="238"/>
      <c r="B235" s="239"/>
      <c r="C235" s="239"/>
      <c r="D235" s="240"/>
      <c r="E235" s="240"/>
      <c r="F235" s="241"/>
      <c r="G235" s="89"/>
      <c r="H235" s="89"/>
      <c r="I235" s="89"/>
    </row>
    <row r="236" spans="1:9">
      <c r="A236" s="238"/>
      <c r="B236" s="239"/>
      <c r="C236" s="239"/>
      <c r="D236" s="240"/>
      <c r="E236" s="240"/>
      <c r="F236" s="241"/>
      <c r="G236" s="89"/>
      <c r="H236" s="89"/>
      <c r="I236" s="89"/>
    </row>
    <row r="237" spans="1:9">
      <c r="A237" s="238"/>
      <c r="B237" s="239"/>
      <c r="C237" s="239"/>
      <c r="D237" s="240"/>
      <c r="E237" s="240"/>
      <c r="F237" s="241"/>
      <c r="G237" s="89"/>
      <c r="H237" s="89"/>
      <c r="I237" s="89"/>
    </row>
    <row r="238" spans="1:9">
      <c r="A238" s="238"/>
      <c r="B238" s="239"/>
      <c r="C238" s="239"/>
      <c r="D238" s="240"/>
      <c r="E238" s="240"/>
      <c r="F238" s="241"/>
      <c r="G238" s="89"/>
      <c r="H238" s="89"/>
      <c r="I238" s="89"/>
    </row>
    <row r="239" spans="1:9">
      <c r="A239" s="238"/>
      <c r="B239" s="239"/>
      <c r="C239" s="239"/>
      <c r="D239" s="240"/>
      <c r="E239" s="240"/>
      <c r="F239" s="241"/>
      <c r="G239" s="89"/>
      <c r="H239" s="89"/>
      <c r="I239" s="89"/>
    </row>
    <row r="240" spans="1:9">
      <c r="A240" s="238"/>
      <c r="B240" s="239"/>
      <c r="C240" s="239"/>
      <c r="D240" s="240"/>
      <c r="E240" s="240"/>
      <c r="F240" s="241"/>
      <c r="G240" s="89"/>
      <c r="H240" s="89"/>
      <c r="I240" s="89"/>
    </row>
    <row r="241" spans="1:9">
      <c r="A241" s="238"/>
      <c r="B241" s="239"/>
      <c r="C241" s="239"/>
      <c r="D241" s="240"/>
      <c r="E241" s="240"/>
      <c r="F241" s="241"/>
      <c r="G241" s="89"/>
      <c r="H241" s="89"/>
      <c r="I241" s="89"/>
    </row>
    <row r="242" spans="1:9">
      <c r="A242" s="238"/>
      <c r="B242" s="239"/>
      <c r="C242" s="239"/>
      <c r="D242" s="240"/>
      <c r="E242" s="240"/>
      <c r="F242" s="241"/>
      <c r="G242" s="89"/>
      <c r="H242" s="89"/>
      <c r="I242" s="89"/>
    </row>
    <row r="243" spans="1:9">
      <c r="A243" s="238"/>
      <c r="B243" s="239"/>
      <c r="C243" s="239"/>
      <c r="D243" s="240"/>
      <c r="E243" s="240"/>
      <c r="F243" s="241"/>
      <c r="G243" s="89"/>
      <c r="H243" s="89"/>
      <c r="I243" s="89"/>
    </row>
    <row r="244" spans="1:9">
      <c r="A244" s="238"/>
      <c r="B244" s="239"/>
      <c r="C244" s="239"/>
      <c r="D244" s="240"/>
      <c r="E244" s="240"/>
      <c r="F244" s="241"/>
      <c r="G244" s="89"/>
      <c r="H244" s="89"/>
      <c r="I244" s="89"/>
    </row>
    <row r="245" spans="1:9">
      <c r="A245" s="238"/>
      <c r="B245" s="239"/>
      <c r="C245" s="239"/>
      <c r="D245" s="240"/>
      <c r="E245" s="240"/>
      <c r="F245" s="241"/>
      <c r="G245" s="89"/>
      <c r="H245" s="89"/>
      <c r="I245" s="89"/>
    </row>
    <row r="246" spans="1:9">
      <c r="A246" s="238"/>
      <c r="B246" s="239"/>
      <c r="C246" s="239"/>
      <c r="D246" s="240"/>
      <c r="E246" s="240"/>
      <c r="F246" s="241"/>
      <c r="G246" s="89"/>
      <c r="H246" s="89"/>
      <c r="I246" s="89"/>
    </row>
    <row r="247" spans="1:9">
      <c r="A247" s="238"/>
      <c r="B247" s="239"/>
      <c r="C247" s="239"/>
      <c r="D247" s="240"/>
      <c r="E247" s="240"/>
      <c r="F247" s="241"/>
      <c r="G247" s="89"/>
      <c r="H247" s="89"/>
      <c r="I247" s="89"/>
    </row>
    <row r="248" spans="1:9">
      <c r="A248" s="238"/>
      <c r="B248" s="239"/>
      <c r="C248" s="239"/>
      <c r="D248" s="240"/>
      <c r="E248" s="240"/>
      <c r="F248" s="241"/>
      <c r="G248" s="89"/>
      <c r="H248" s="89"/>
      <c r="I248" s="89"/>
    </row>
    <row r="249" spans="1:9">
      <c r="A249" s="238"/>
      <c r="B249" s="239"/>
      <c r="C249" s="239"/>
      <c r="D249" s="240"/>
      <c r="E249" s="240"/>
      <c r="F249" s="241"/>
      <c r="G249" s="89"/>
      <c r="H249" s="89"/>
      <c r="I249" s="89"/>
    </row>
    <row r="250" spans="1:9">
      <c r="A250" s="238"/>
      <c r="B250" s="239"/>
      <c r="C250" s="239"/>
      <c r="D250" s="240"/>
      <c r="E250" s="240"/>
      <c r="F250" s="241"/>
      <c r="G250" s="89"/>
      <c r="H250" s="89"/>
      <c r="I250" s="89"/>
    </row>
    <row r="251" spans="1:9">
      <c r="A251" s="238"/>
      <c r="B251" s="239"/>
      <c r="C251" s="239"/>
      <c r="D251" s="240"/>
      <c r="E251" s="240"/>
      <c r="F251" s="241"/>
      <c r="G251" s="89"/>
      <c r="H251" s="89"/>
      <c r="I251" s="89"/>
    </row>
    <row r="252" spans="1:9">
      <c r="A252" s="238"/>
      <c r="B252" s="239"/>
      <c r="C252" s="239"/>
      <c r="D252" s="240"/>
      <c r="E252" s="240"/>
      <c r="F252" s="241"/>
      <c r="G252" s="89"/>
      <c r="H252" s="89"/>
      <c r="I252" s="89"/>
    </row>
    <row r="253" spans="1:9">
      <c r="A253" s="238"/>
      <c r="B253" s="239"/>
      <c r="C253" s="239"/>
      <c r="D253" s="240"/>
      <c r="E253" s="240"/>
      <c r="F253" s="241"/>
      <c r="G253" s="89"/>
      <c r="H253" s="89"/>
      <c r="I253" s="89"/>
    </row>
    <row r="254" spans="1:9">
      <c r="A254" s="238"/>
      <c r="B254" s="239"/>
      <c r="C254" s="239"/>
      <c r="D254" s="240"/>
      <c r="E254" s="240"/>
      <c r="F254" s="241"/>
      <c r="G254" s="89"/>
      <c r="H254" s="89"/>
      <c r="I254" s="89"/>
    </row>
    <row r="255" spans="1:9">
      <c r="A255" s="238"/>
      <c r="B255" s="239"/>
      <c r="C255" s="239"/>
      <c r="D255" s="240"/>
      <c r="E255" s="240"/>
      <c r="F255" s="241"/>
      <c r="G255" s="89"/>
      <c r="H255" s="89"/>
      <c r="I255" s="89"/>
    </row>
    <row r="256" spans="1:9">
      <c r="A256" s="238"/>
      <c r="B256" s="239"/>
      <c r="C256" s="239"/>
      <c r="D256" s="240"/>
      <c r="E256" s="240"/>
      <c r="F256" s="241"/>
      <c r="G256" s="89"/>
      <c r="H256" s="89"/>
      <c r="I256" s="89"/>
    </row>
    <row r="257" spans="1:9">
      <c r="A257" s="238"/>
      <c r="B257" s="239"/>
      <c r="C257" s="239"/>
      <c r="D257" s="240"/>
      <c r="E257" s="240"/>
      <c r="F257" s="241"/>
      <c r="G257" s="89"/>
      <c r="H257" s="89"/>
      <c r="I257" s="89"/>
    </row>
    <row r="258" spans="1:9">
      <c r="A258" s="238"/>
      <c r="B258" s="242"/>
      <c r="C258" s="242"/>
      <c r="D258" s="242"/>
      <c r="E258" s="242"/>
      <c r="F258" s="243"/>
      <c r="G258" s="89"/>
      <c r="H258" s="89"/>
      <c r="I258" s="89"/>
    </row>
    <row r="259" spans="1:9">
      <c r="A259" s="238"/>
      <c r="B259" s="242"/>
      <c r="C259" s="242"/>
      <c r="D259" s="242"/>
      <c r="E259" s="242"/>
      <c r="F259" s="243"/>
      <c r="G259" s="89"/>
      <c r="H259" s="89"/>
      <c r="I259" s="89"/>
    </row>
    <row r="260" spans="1:9">
      <c r="A260" s="238"/>
      <c r="B260" s="242"/>
      <c r="C260" s="242"/>
      <c r="D260" s="242"/>
      <c r="E260" s="242"/>
      <c r="F260" s="243"/>
      <c r="G260" s="89"/>
      <c r="H260" s="89"/>
      <c r="I260" s="89"/>
    </row>
    <row r="261" spans="1:9">
      <c r="A261" s="238"/>
      <c r="B261" s="239"/>
      <c r="C261" s="239"/>
      <c r="D261" s="240"/>
      <c r="E261" s="240"/>
      <c r="F261" s="241"/>
      <c r="G261" s="89"/>
      <c r="H261" s="89"/>
      <c r="I261" s="89"/>
    </row>
    <row r="262" spans="1:9">
      <c r="A262" s="238"/>
      <c r="B262" s="239"/>
      <c r="C262" s="239"/>
      <c r="D262" s="240"/>
      <c r="E262" s="240"/>
      <c r="F262" s="241"/>
      <c r="G262" s="89"/>
      <c r="H262" s="89"/>
      <c r="I262" s="89"/>
    </row>
    <row r="263" spans="1:9">
      <c r="A263" s="238"/>
      <c r="B263" s="239"/>
      <c r="C263" s="239"/>
      <c r="D263" s="240"/>
      <c r="E263" s="240"/>
      <c r="F263" s="241"/>
      <c r="G263" s="89"/>
      <c r="H263" s="89"/>
      <c r="I263" s="89"/>
    </row>
    <row r="264" spans="1:9">
      <c r="A264" s="238"/>
      <c r="B264" s="239"/>
      <c r="C264" s="239"/>
      <c r="D264" s="240"/>
      <c r="E264" s="240"/>
      <c r="F264" s="241"/>
      <c r="G264" s="89"/>
      <c r="H264" s="89"/>
      <c r="I264" s="89"/>
    </row>
    <row r="265" spans="1:9">
      <c r="A265" s="238"/>
      <c r="B265" s="239"/>
      <c r="C265" s="239"/>
      <c r="D265" s="240"/>
      <c r="E265" s="240"/>
      <c r="F265" s="241"/>
      <c r="G265" s="89"/>
      <c r="H265" s="89"/>
      <c r="I265" s="89"/>
    </row>
    <row r="266" spans="1:9">
      <c r="A266" s="238"/>
      <c r="B266" s="239"/>
      <c r="C266" s="239"/>
      <c r="D266" s="240"/>
      <c r="E266" s="240"/>
      <c r="F266" s="241"/>
      <c r="G266" s="89"/>
      <c r="H266" s="89"/>
      <c r="I266" s="89"/>
    </row>
    <row r="267" spans="1:9">
      <c r="A267" s="238"/>
      <c r="B267" s="239"/>
      <c r="C267" s="239"/>
      <c r="D267" s="240"/>
      <c r="E267" s="240"/>
      <c r="F267" s="241"/>
      <c r="G267" s="89"/>
      <c r="H267" s="89"/>
      <c r="I267" s="89"/>
    </row>
    <row r="268" spans="1:9">
      <c r="A268" s="238"/>
      <c r="B268" s="239"/>
      <c r="C268" s="239"/>
      <c r="D268" s="240"/>
      <c r="E268" s="240"/>
      <c r="F268" s="241"/>
      <c r="G268" s="89"/>
      <c r="H268" s="89"/>
      <c r="I268" s="89"/>
    </row>
    <row r="269" spans="1:9">
      <c r="A269" s="238"/>
      <c r="B269" s="239"/>
      <c r="C269" s="239"/>
      <c r="D269" s="240"/>
      <c r="E269" s="240"/>
      <c r="F269" s="241"/>
      <c r="G269" s="89"/>
      <c r="H269" s="89"/>
      <c r="I269" s="89"/>
    </row>
    <row r="270" spans="1:9">
      <c r="A270" s="238"/>
      <c r="B270" s="239"/>
      <c r="C270" s="239"/>
      <c r="D270" s="240"/>
      <c r="E270" s="240"/>
      <c r="F270" s="241"/>
      <c r="G270" s="89"/>
      <c r="H270" s="89"/>
      <c r="I270" s="89"/>
    </row>
    <row r="271" spans="1:9">
      <c r="A271" s="238"/>
      <c r="B271" s="239"/>
      <c r="C271" s="239"/>
      <c r="D271" s="240"/>
      <c r="E271" s="240"/>
      <c r="F271" s="241"/>
      <c r="G271" s="89"/>
      <c r="H271" s="89"/>
      <c r="I271" s="89"/>
    </row>
    <row r="272" spans="1:9">
      <c r="A272" s="238"/>
      <c r="B272" s="239"/>
      <c r="C272" s="239"/>
      <c r="D272" s="240"/>
      <c r="E272" s="240"/>
      <c r="F272" s="241"/>
      <c r="G272" s="89"/>
      <c r="H272" s="89"/>
      <c r="I272" s="89"/>
    </row>
    <row r="273" spans="1:9">
      <c r="A273" s="238"/>
      <c r="B273" s="239"/>
      <c r="C273" s="239"/>
      <c r="D273" s="240"/>
      <c r="E273" s="240"/>
      <c r="F273" s="241"/>
      <c r="G273" s="89"/>
      <c r="H273" s="89"/>
      <c r="I273" s="89"/>
    </row>
    <row r="274" spans="1:9">
      <c r="A274" s="238"/>
      <c r="B274" s="239"/>
      <c r="C274" s="239"/>
      <c r="D274" s="240"/>
      <c r="E274" s="240"/>
      <c r="F274" s="241"/>
      <c r="G274" s="89"/>
      <c r="H274" s="89"/>
      <c r="I274" s="89"/>
    </row>
    <row r="275" spans="1:9">
      <c r="A275" s="238"/>
      <c r="B275" s="239"/>
      <c r="C275" s="239"/>
      <c r="D275" s="240"/>
      <c r="E275" s="240"/>
      <c r="F275" s="241"/>
      <c r="G275" s="89"/>
      <c r="H275" s="89"/>
      <c r="I275" s="89"/>
    </row>
    <row r="276" spans="1:9">
      <c r="A276" s="238"/>
      <c r="B276" s="239"/>
      <c r="C276" s="239"/>
      <c r="D276" s="240"/>
      <c r="E276" s="240"/>
      <c r="F276" s="241"/>
      <c r="G276" s="89"/>
      <c r="H276" s="89"/>
      <c r="I276" s="89"/>
    </row>
    <row r="277" spans="1:9">
      <c r="A277" s="238"/>
      <c r="B277" s="239"/>
      <c r="C277" s="239"/>
      <c r="D277" s="240"/>
      <c r="E277" s="240"/>
      <c r="F277" s="241"/>
      <c r="G277" s="89"/>
      <c r="H277" s="89"/>
      <c r="I277" s="89"/>
    </row>
    <row r="278" spans="1:9">
      <c r="A278" s="238"/>
      <c r="B278" s="239"/>
      <c r="C278" s="239"/>
      <c r="D278" s="240"/>
      <c r="E278" s="240"/>
      <c r="F278" s="241"/>
      <c r="G278" s="89"/>
      <c r="H278" s="89"/>
      <c r="I278" s="89"/>
    </row>
    <row r="279" spans="1:9">
      <c r="A279" s="238"/>
      <c r="B279" s="239"/>
      <c r="C279" s="239"/>
      <c r="D279" s="240"/>
      <c r="E279" s="240"/>
      <c r="F279" s="241"/>
      <c r="G279" s="89"/>
      <c r="H279" s="89"/>
      <c r="I279" s="89"/>
    </row>
    <row r="280" spans="1:9">
      <c r="A280" s="238"/>
      <c r="B280" s="239"/>
      <c r="C280" s="239"/>
      <c r="D280" s="240"/>
      <c r="E280" s="240"/>
      <c r="F280" s="241"/>
      <c r="G280" s="89"/>
      <c r="H280" s="89"/>
      <c r="I280" s="89"/>
    </row>
    <row r="281" spans="1:9">
      <c r="A281" s="238"/>
      <c r="B281" s="239"/>
      <c r="C281" s="239"/>
      <c r="D281" s="240"/>
      <c r="E281" s="240"/>
      <c r="F281" s="241"/>
      <c r="G281" s="89"/>
      <c r="H281" s="89"/>
      <c r="I281" s="89"/>
    </row>
    <row r="282" spans="1:9">
      <c r="A282" s="238"/>
      <c r="B282" s="239"/>
      <c r="C282" s="239"/>
      <c r="D282" s="240"/>
      <c r="E282" s="240"/>
      <c r="F282" s="241"/>
      <c r="G282" s="89"/>
      <c r="H282" s="89"/>
      <c r="I282" s="89"/>
    </row>
    <row r="283" spans="1:9">
      <c r="A283" s="238"/>
      <c r="B283" s="239"/>
      <c r="C283" s="239"/>
      <c r="D283" s="240"/>
      <c r="E283" s="240"/>
      <c r="F283" s="241"/>
      <c r="G283" s="89"/>
      <c r="H283" s="89"/>
      <c r="I283" s="89"/>
    </row>
    <row r="284" spans="1:9">
      <c r="A284" s="238"/>
      <c r="B284" s="239"/>
      <c r="C284" s="239"/>
      <c r="D284" s="240"/>
      <c r="E284" s="240"/>
      <c r="F284" s="241"/>
      <c r="G284" s="89"/>
      <c r="H284" s="89"/>
      <c r="I284" s="89"/>
    </row>
    <row r="285" spans="1:9">
      <c r="A285" s="238"/>
      <c r="B285" s="239"/>
      <c r="C285" s="239"/>
      <c r="D285" s="240"/>
      <c r="E285" s="240"/>
      <c r="F285" s="241"/>
      <c r="G285" s="89"/>
      <c r="H285" s="89"/>
      <c r="I285" s="89"/>
    </row>
    <row r="286" spans="1:9">
      <c r="A286" s="238"/>
      <c r="B286" s="239"/>
      <c r="C286" s="239"/>
      <c r="D286" s="240"/>
      <c r="E286" s="240"/>
      <c r="F286" s="241"/>
      <c r="G286" s="89"/>
      <c r="H286" s="89"/>
      <c r="I286" s="89"/>
    </row>
    <row r="287" spans="1:9">
      <c r="A287" s="238"/>
      <c r="B287" s="239"/>
      <c r="C287" s="239"/>
      <c r="D287" s="240"/>
      <c r="E287" s="240"/>
      <c r="F287" s="241"/>
      <c r="G287" s="89"/>
      <c r="H287" s="89"/>
      <c r="I287" s="89"/>
    </row>
    <row r="288" spans="1:9">
      <c r="A288" s="238"/>
      <c r="B288" s="239"/>
      <c r="C288" s="239"/>
      <c r="D288" s="240"/>
      <c r="E288" s="240"/>
      <c r="F288" s="241"/>
      <c r="G288" s="89"/>
      <c r="H288" s="89"/>
      <c r="I288" s="89"/>
    </row>
    <row r="289" spans="1:9">
      <c r="A289" s="238"/>
      <c r="B289" s="242"/>
      <c r="C289" s="242"/>
      <c r="D289" s="242"/>
      <c r="E289" s="242"/>
      <c r="F289" s="243"/>
      <c r="G289" s="89"/>
      <c r="H289" s="89"/>
      <c r="I289" s="89"/>
    </row>
    <row r="290" spans="1:9">
      <c r="A290" s="238"/>
      <c r="B290" s="242"/>
      <c r="C290" s="242"/>
      <c r="D290" s="242"/>
      <c r="E290" s="242"/>
      <c r="F290" s="243"/>
      <c r="G290" s="89"/>
      <c r="H290" s="89"/>
      <c r="I290" s="89"/>
    </row>
    <row r="291" spans="1:9">
      <c r="A291" s="238"/>
      <c r="B291" s="242"/>
      <c r="C291" s="242"/>
      <c r="D291" s="242"/>
      <c r="E291" s="242"/>
      <c r="F291" s="243"/>
      <c r="G291" s="89"/>
      <c r="H291" s="89"/>
      <c r="I291" s="89"/>
    </row>
    <row r="292" spans="1:9">
      <c r="A292" s="238"/>
      <c r="B292" s="239"/>
      <c r="C292" s="239"/>
      <c r="D292" s="240"/>
      <c r="E292" s="240"/>
      <c r="F292" s="241"/>
      <c r="G292" s="89"/>
      <c r="H292" s="89"/>
      <c r="I292" s="89"/>
    </row>
    <row r="293" spans="1:9">
      <c r="A293" s="238"/>
      <c r="B293" s="239"/>
      <c r="C293" s="239"/>
      <c r="D293" s="240"/>
      <c r="E293" s="240"/>
      <c r="F293" s="241"/>
      <c r="G293" s="89"/>
      <c r="H293" s="89"/>
      <c r="I293" s="89"/>
    </row>
    <row r="294" spans="1:9">
      <c r="A294" s="238"/>
      <c r="B294" s="239"/>
      <c r="C294" s="239"/>
      <c r="D294" s="240"/>
      <c r="E294" s="240"/>
      <c r="F294" s="241"/>
      <c r="G294" s="89"/>
      <c r="H294" s="89"/>
      <c r="I294" s="89"/>
    </row>
    <row r="295" spans="1:9">
      <c r="A295" s="238"/>
      <c r="B295" s="239"/>
      <c r="C295" s="239"/>
      <c r="D295" s="240"/>
      <c r="E295" s="240"/>
      <c r="F295" s="241"/>
      <c r="G295" s="89"/>
      <c r="H295" s="89"/>
      <c r="I295" s="89"/>
    </row>
    <row r="296" spans="1:9">
      <c r="A296" s="238"/>
      <c r="B296" s="239"/>
      <c r="C296" s="239"/>
      <c r="D296" s="240"/>
      <c r="E296" s="240"/>
      <c r="F296" s="241"/>
      <c r="G296" s="89"/>
      <c r="H296" s="89"/>
      <c r="I296" s="89"/>
    </row>
    <row r="297" spans="1:9">
      <c r="A297" s="238"/>
      <c r="B297" s="239"/>
      <c r="C297" s="239"/>
      <c r="D297" s="240"/>
      <c r="E297" s="240"/>
      <c r="F297" s="241"/>
      <c r="G297" s="89"/>
      <c r="H297" s="89"/>
      <c r="I297" s="89"/>
    </row>
    <row r="298" spans="1:9">
      <c r="A298" s="238"/>
      <c r="B298" s="239"/>
      <c r="C298" s="239"/>
      <c r="D298" s="240"/>
      <c r="E298" s="240"/>
      <c r="F298" s="241"/>
      <c r="G298" s="89"/>
      <c r="H298" s="89"/>
      <c r="I298" s="89"/>
    </row>
    <row r="299" spans="1:9">
      <c r="A299" s="238"/>
      <c r="B299" s="239"/>
      <c r="C299" s="239"/>
      <c r="D299" s="240"/>
      <c r="E299" s="240"/>
      <c r="F299" s="241"/>
      <c r="G299" s="89"/>
      <c r="H299" s="89"/>
      <c r="I299" s="89"/>
    </row>
    <row r="300" spans="1:9">
      <c r="A300" s="238"/>
      <c r="B300" s="239"/>
      <c r="C300" s="239"/>
      <c r="D300" s="240"/>
      <c r="E300" s="240"/>
      <c r="F300" s="241"/>
      <c r="G300" s="89"/>
      <c r="H300" s="89"/>
      <c r="I300" s="89"/>
    </row>
    <row r="301" spans="1:9">
      <c r="A301" s="238"/>
      <c r="B301" s="239"/>
      <c r="C301" s="239"/>
      <c r="D301" s="240"/>
      <c r="E301" s="240"/>
      <c r="F301" s="241"/>
      <c r="G301" s="89"/>
      <c r="H301" s="89"/>
      <c r="I301" s="89"/>
    </row>
    <row r="302" spans="1:9">
      <c r="A302" s="238"/>
      <c r="B302" s="239"/>
      <c r="C302" s="239"/>
      <c r="D302" s="240"/>
      <c r="E302" s="240"/>
      <c r="F302" s="241"/>
      <c r="G302" s="89"/>
      <c r="H302" s="89"/>
      <c r="I302" s="89"/>
    </row>
    <row r="303" spans="1:9">
      <c r="A303" s="238"/>
      <c r="B303" s="242"/>
      <c r="C303" s="242"/>
      <c r="D303" s="242"/>
      <c r="E303" s="242"/>
      <c r="F303" s="243"/>
      <c r="G303" s="89"/>
      <c r="H303" s="89"/>
      <c r="I303" s="89"/>
    </row>
    <row r="304" spans="1:9">
      <c r="A304" s="238"/>
      <c r="B304" s="242"/>
      <c r="C304" s="242"/>
      <c r="D304" s="242"/>
      <c r="E304" s="242"/>
      <c r="F304" s="243"/>
      <c r="G304" s="89"/>
      <c r="H304" s="89"/>
      <c r="I304" s="89"/>
    </row>
    <row r="305" spans="1:9">
      <c r="A305" s="238"/>
      <c r="B305" s="242"/>
      <c r="C305" s="242"/>
      <c r="D305" s="242"/>
      <c r="E305" s="242"/>
      <c r="F305" s="243"/>
      <c r="G305" s="89"/>
      <c r="H305" s="89"/>
      <c r="I305" s="89"/>
    </row>
    <row r="306" spans="1:9">
      <c r="A306" s="238"/>
      <c r="B306" s="242"/>
      <c r="C306" s="242"/>
      <c r="D306" s="242"/>
      <c r="E306" s="242"/>
      <c r="F306" s="243"/>
      <c r="G306" s="89"/>
      <c r="H306" s="89"/>
      <c r="I306" s="89"/>
    </row>
    <row r="307" spans="1:9">
      <c r="A307" s="238"/>
      <c r="B307" s="242"/>
      <c r="C307" s="242"/>
      <c r="D307" s="242"/>
      <c r="E307" s="242"/>
      <c r="F307" s="243"/>
      <c r="G307" s="89"/>
      <c r="H307" s="89"/>
      <c r="I307" s="89"/>
    </row>
    <row r="308" spans="1:9">
      <c r="A308" s="244"/>
      <c r="B308" s="245"/>
      <c r="C308" s="245"/>
      <c r="D308" s="245"/>
      <c r="E308" s="245"/>
      <c r="F308" s="246"/>
      <c r="G308" s="89"/>
      <c r="H308" s="89"/>
      <c r="I308" s="89"/>
    </row>
  </sheetData>
  <sheetProtection algorithmName="SHA-512" hashValue="KqQfuWDgBpTjpJFNdmOUCQs+LPi5PA3gNFjMkcqjGRzvXLJbajwoCEsvWx5P3TCIhrlktXLyEPV4sPKitJqYdQ==" saltValue="pN3rcndR+qVGYxCCzw5FGA==" spinCount="100000" sheet="1" objects="1" scenarios="1"/>
  <phoneticPr fontId="1" type="noConversion"/>
  <printOptions horizontalCentered="1"/>
  <pageMargins left="0.5" right="0.5" top="1" bottom="1" header="0.3" footer="0.3"/>
  <pageSetup scale="43" fitToHeight="0" orientation="portrait" horizontalDpi="1200" verticalDpi="1200"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207E394-BDA5-4F72-83F6-C5FCA83E2BAA}">
          <x14:formula1>
            <xm:f>'Annual Data'!$Q$27:$V$27</xm:f>
          </x14:formula1>
          <xm:sqref>A13:A308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C159-D2D7-4798-B1E4-E36A91212E60}">
  <sheetPr codeName="Sheet4">
    <pageSetUpPr fitToPage="1"/>
  </sheetPr>
  <dimension ref="A1:E31"/>
  <sheetViews>
    <sheetView showGridLines="0" zoomScaleNormal="100" zoomScalePageLayoutView="83" workbookViewId="0">
      <selection activeCell="B19" sqref="B19"/>
    </sheetView>
  </sheetViews>
  <sheetFormatPr defaultColWidth="9.140625" defaultRowHeight="14.25"/>
  <cols>
    <col min="1" max="1" width="32.140625" style="12" customWidth="1"/>
    <col min="2" max="2" width="18.7109375" style="12" customWidth="1"/>
    <col min="3" max="3" width="19.28515625" style="12" customWidth="1"/>
    <col min="4" max="4" width="20.28515625" style="12" customWidth="1"/>
    <col min="5" max="5" width="28.5703125" style="12" customWidth="1"/>
    <col min="6" max="16384" width="9.140625" style="12"/>
  </cols>
  <sheetData>
    <row r="1" spans="1:5" ht="18">
      <c r="A1" s="88" t="s">
        <v>128</v>
      </c>
      <c r="B1" s="88"/>
      <c r="C1" s="88"/>
      <c r="D1" s="88"/>
      <c r="E1" s="88"/>
    </row>
    <row r="2" spans="1:5">
      <c r="A2" s="87" t="s">
        <v>129</v>
      </c>
    </row>
    <row r="3" spans="1:5">
      <c r="A3" s="87" t="s">
        <v>130</v>
      </c>
    </row>
    <row r="4" spans="1:5" ht="15">
      <c r="A4" s="197" t="s">
        <v>131</v>
      </c>
      <c r="B4" s="198"/>
    </row>
    <row r="5" spans="1:5">
      <c r="A5" s="206" t="s">
        <v>132</v>
      </c>
      <c r="B5" s="207"/>
    </row>
    <row r="6" spans="1:5" ht="38.25">
      <c r="A6" s="1" t="s">
        <v>58</v>
      </c>
      <c r="B6" s="1" t="s">
        <v>133</v>
      </c>
      <c r="C6" s="1" t="s">
        <v>134</v>
      </c>
    </row>
    <row r="7" spans="1:5">
      <c r="A7" s="116" t="s">
        <v>26</v>
      </c>
      <c r="B7" s="117"/>
      <c r="C7" s="210">
        <f t="shared" ref="C7:C17" si="0">$B$5*B7</f>
        <v>0</v>
      </c>
    </row>
    <row r="8" spans="1:5">
      <c r="A8" s="116" t="s">
        <v>27</v>
      </c>
      <c r="B8" s="117"/>
      <c r="C8" s="210">
        <f t="shared" si="0"/>
        <v>0</v>
      </c>
    </row>
    <row r="9" spans="1:5">
      <c r="A9" s="116" t="s">
        <v>28</v>
      </c>
      <c r="B9" s="117"/>
      <c r="C9" s="210">
        <f t="shared" si="0"/>
        <v>0</v>
      </c>
    </row>
    <row r="10" spans="1:5">
      <c r="A10" s="116" t="s">
        <v>135</v>
      </c>
      <c r="B10" s="118"/>
      <c r="C10" s="210">
        <f t="shared" si="0"/>
        <v>0</v>
      </c>
    </row>
    <row r="11" spans="1:5">
      <c r="A11" s="116" t="s">
        <v>30</v>
      </c>
      <c r="B11" s="118"/>
      <c r="C11" s="210">
        <f t="shared" si="0"/>
        <v>0</v>
      </c>
    </row>
    <row r="12" spans="1:5">
      <c r="A12" s="116" t="s">
        <v>136</v>
      </c>
      <c r="B12" s="118"/>
      <c r="C12" s="210">
        <f t="shared" si="0"/>
        <v>0</v>
      </c>
    </row>
    <row r="13" spans="1:5">
      <c r="A13" s="116" t="s">
        <v>31</v>
      </c>
      <c r="B13" s="118">
        <v>0.77169233758959299</v>
      </c>
      <c r="C13" s="210">
        <f t="shared" si="0"/>
        <v>0</v>
      </c>
    </row>
    <row r="14" spans="1:5">
      <c r="A14" s="116" t="s">
        <v>35</v>
      </c>
      <c r="B14" s="118"/>
      <c r="C14" s="210">
        <f t="shared" si="0"/>
        <v>0</v>
      </c>
    </row>
    <row r="15" spans="1:5">
      <c r="A15" s="116" t="s">
        <v>32</v>
      </c>
      <c r="B15" s="118">
        <v>0.112523278773163</v>
      </c>
      <c r="C15" s="210">
        <f t="shared" si="0"/>
        <v>0</v>
      </c>
    </row>
    <row r="16" spans="1:5">
      <c r="A16" s="116" t="s">
        <v>34</v>
      </c>
      <c r="B16" s="118">
        <v>8.4765944883379105E-3</v>
      </c>
      <c r="C16" s="210">
        <f t="shared" si="0"/>
        <v>0</v>
      </c>
    </row>
    <row r="17" spans="1:3">
      <c r="A17" s="209" t="s">
        <v>112</v>
      </c>
      <c r="B17" s="208">
        <v>0.107307789148906</v>
      </c>
      <c r="C17" s="211">
        <f t="shared" si="0"/>
        <v>0</v>
      </c>
    </row>
    <row r="18" spans="1:3" ht="15">
      <c r="A18" s="197" t="s">
        <v>137</v>
      </c>
      <c r="B18" s="198"/>
    </row>
    <row r="19" spans="1:3">
      <c r="A19" s="199" t="s">
        <v>132</v>
      </c>
      <c r="B19" s="200"/>
    </row>
    <row r="20" spans="1:3" ht="38.25">
      <c r="A20" s="1" t="s">
        <v>58</v>
      </c>
      <c r="B20" s="1" t="s">
        <v>133</v>
      </c>
      <c r="C20" s="1" t="s">
        <v>138</v>
      </c>
    </row>
    <row r="21" spans="1:3">
      <c r="A21" s="212" t="s">
        <v>26</v>
      </c>
      <c r="B21" s="213"/>
      <c r="C21" s="214">
        <f t="shared" ref="C21:C31" si="1">$B$19*B21</f>
        <v>0</v>
      </c>
    </row>
    <row r="22" spans="1:3">
      <c r="A22" s="201" t="s">
        <v>27</v>
      </c>
      <c r="B22" s="117"/>
      <c r="C22" s="202">
        <f t="shared" si="1"/>
        <v>0</v>
      </c>
    </row>
    <row r="23" spans="1:3">
      <c r="A23" s="201" t="s">
        <v>28</v>
      </c>
      <c r="B23" s="117"/>
      <c r="C23" s="202">
        <f t="shared" si="1"/>
        <v>0</v>
      </c>
    </row>
    <row r="24" spans="1:3">
      <c r="A24" s="201" t="s">
        <v>135</v>
      </c>
      <c r="B24" s="118"/>
      <c r="C24" s="202">
        <f t="shared" si="1"/>
        <v>0</v>
      </c>
    </row>
    <row r="25" spans="1:3">
      <c r="A25" s="201" t="s">
        <v>30</v>
      </c>
      <c r="B25" s="117"/>
      <c r="C25" s="202">
        <f t="shared" si="1"/>
        <v>0</v>
      </c>
    </row>
    <row r="26" spans="1:3">
      <c r="A26" s="201" t="s">
        <v>136</v>
      </c>
      <c r="B26" s="118"/>
      <c r="C26" s="202">
        <f t="shared" si="1"/>
        <v>0</v>
      </c>
    </row>
    <row r="27" spans="1:3">
      <c r="A27" s="201" t="s">
        <v>31</v>
      </c>
      <c r="B27" s="118">
        <v>0.82235309999999995</v>
      </c>
      <c r="C27" s="202">
        <f t="shared" si="1"/>
        <v>0</v>
      </c>
    </row>
    <row r="28" spans="1:3">
      <c r="A28" s="201" t="s">
        <v>35</v>
      </c>
      <c r="B28" s="118"/>
      <c r="C28" s="202">
        <f t="shared" si="1"/>
        <v>0</v>
      </c>
    </row>
    <row r="29" spans="1:3">
      <c r="A29" s="201" t="s">
        <v>32</v>
      </c>
      <c r="B29" s="118">
        <v>6.5643099999999996E-2</v>
      </c>
      <c r="C29" s="202">
        <f t="shared" si="1"/>
        <v>0</v>
      </c>
    </row>
    <row r="30" spans="1:3">
      <c r="A30" s="201" t="s">
        <v>34</v>
      </c>
      <c r="B30" s="118"/>
      <c r="C30" s="202">
        <f t="shared" si="1"/>
        <v>0</v>
      </c>
    </row>
    <row r="31" spans="1:3">
      <c r="A31" s="203" t="s">
        <v>112</v>
      </c>
      <c r="B31" s="204">
        <v>0.1120038</v>
      </c>
      <c r="C31" s="205">
        <f t="shared" si="1"/>
        <v>0</v>
      </c>
    </row>
  </sheetData>
  <sheetProtection algorithmName="SHA-512" hashValue="KxzBE6GP4wMaAC6wO5k5JSH9HRxxk4UHSEq8gtqoyS0++fGdACzLPLR0uqh06gCHDZn18M/M8/Jux+HTrJeU4g==" saltValue="8HlMp9PL3ebuga7HShq+qg==" spinCount="100000" sheet="1" objects="1" scenarios="1"/>
  <pageMargins left="0.5" right="0.5" top="1" bottom="1" header="0.3" footer="0.3"/>
  <pageSetup scale="80" fitToHeight="0" orientation="portrait" horizontalDpi="1200" verticalDpi="1200"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22DF1-436B-4A07-B57A-0774FFFB9BED}">
  <dimension ref="A1:C27"/>
  <sheetViews>
    <sheetView workbookViewId="0"/>
  </sheetViews>
  <sheetFormatPr defaultRowHeight="15"/>
  <cols>
    <col min="1" max="1" width="40.28515625" customWidth="1"/>
    <col min="2" max="2" width="22.28515625" customWidth="1"/>
    <col min="3" max="3" width="19.85546875" customWidth="1"/>
    <col min="4" max="4" width="31.85546875" customWidth="1"/>
    <col min="5" max="5" width="19.85546875" customWidth="1"/>
    <col min="7" max="7" width="33.140625" customWidth="1"/>
    <col min="8" max="8" width="14.28515625" customWidth="1"/>
  </cols>
  <sheetData>
    <row r="1" spans="1:3" s="12" customFormat="1" ht="14.25">
      <c r="A1" s="234" t="s">
        <v>139</v>
      </c>
    </row>
    <row r="2" spans="1:3" s="12" customFormat="1" ht="25.5" customHeight="1">
      <c r="A2" s="233" t="s">
        <v>140</v>
      </c>
    </row>
    <row r="3" spans="1:3" s="12" customFormat="1" ht="25.5" customHeight="1">
      <c r="A3" s="233" t="s">
        <v>141</v>
      </c>
    </row>
    <row r="4" spans="1:3" s="12" customFormat="1" ht="14.25">
      <c r="A4" s="233" t="s">
        <v>142</v>
      </c>
    </row>
    <row r="5" spans="1:3" s="12" customFormat="1" ht="14.25">
      <c r="A5" s="55"/>
    </row>
    <row r="6" spans="1:3" ht="24">
      <c r="A6" s="232" t="s">
        <v>143</v>
      </c>
      <c r="B6" s="231"/>
    </row>
    <row r="7" spans="1:3">
      <c r="A7" s="230" t="s">
        <v>144</v>
      </c>
      <c r="B7" s="248">
        <v>0.04</v>
      </c>
    </row>
    <row r="8" spans="1:3">
      <c r="A8" s="229" t="s">
        <v>145</v>
      </c>
      <c r="B8" s="228">
        <f>B7+(B7*B18)</f>
        <v>4.1675803346735853E-2</v>
      </c>
    </row>
    <row r="9" spans="1:3">
      <c r="A9" s="51"/>
      <c r="B9" s="51"/>
    </row>
    <row r="10" spans="1:3">
      <c r="A10" s="52"/>
    </row>
    <row r="11" spans="1:3" ht="24">
      <c r="A11" s="227" t="s">
        <v>146</v>
      </c>
      <c r="B11" s="56"/>
    </row>
    <row r="13" spans="1:3">
      <c r="A13" s="54" t="s">
        <v>147</v>
      </c>
      <c r="B13" s="53" t="s">
        <v>148</v>
      </c>
    </row>
    <row r="14" spans="1:3">
      <c r="A14" s="119" t="s">
        <v>149</v>
      </c>
      <c r="B14" s="120">
        <v>214191383</v>
      </c>
      <c r="C14" s="236"/>
    </row>
    <row r="15" spans="1:3">
      <c r="A15" s="119" t="s">
        <v>150</v>
      </c>
      <c r="B15" s="120">
        <f>6028637+53441016</f>
        <v>59469653</v>
      </c>
      <c r="C15" s="237"/>
    </row>
    <row r="16" spans="1:3">
      <c r="A16" s="119" t="s">
        <v>151</v>
      </c>
      <c r="B16" s="120">
        <v>273661036</v>
      </c>
    </row>
    <row r="17" spans="1:2">
      <c r="A17" s="119" t="s">
        <v>152</v>
      </c>
      <c r="B17" s="120">
        <v>11465052</v>
      </c>
    </row>
    <row r="18" spans="1:2">
      <c r="A18" s="119" t="s">
        <v>153</v>
      </c>
      <c r="B18" s="121">
        <f>B17/B16</f>
        <v>4.1895083668396255E-2</v>
      </c>
    </row>
    <row r="19" spans="1:2">
      <c r="A19" s="119" t="s">
        <v>154</v>
      </c>
      <c r="B19" s="121">
        <f>B18+0.02</f>
        <v>6.1895083668396259E-2</v>
      </c>
    </row>
    <row r="21" spans="1:2" ht="30" customHeight="1">
      <c r="A21" s="119" t="s">
        <v>155</v>
      </c>
      <c r="B21" s="226">
        <f>B18</f>
        <v>4.1895083668396255E-2</v>
      </c>
    </row>
    <row r="22" spans="1:2">
      <c r="A22" s="119" t="s">
        <v>156</v>
      </c>
      <c r="B22" s="120">
        <f>B14-(B14*B18)</f>
        <v>205217817.08816549</v>
      </c>
    </row>
    <row r="23" spans="1:2" ht="26.25">
      <c r="A23" s="225" t="s">
        <v>157</v>
      </c>
      <c r="B23" s="224">
        <f>B22/(B22-(B22*B21))-1</f>
        <v>4.3727031303423702E-2</v>
      </c>
    </row>
    <row r="25" spans="1:2">
      <c r="A25" s="119" t="s">
        <v>158</v>
      </c>
      <c r="B25" s="226">
        <f>B19</f>
        <v>6.1895083668396259E-2</v>
      </c>
    </row>
    <row r="26" spans="1:2">
      <c r="A26" s="119" t="s">
        <v>159</v>
      </c>
      <c r="B26" s="120">
        <f>B15-(B15*B19)</f>
        <v>55788773.851834506</v>
      </c>
    </row>
    <row r="27" spans="1:2" ht="26.25">
      <c r="A27" s="225" t="s">
        <v>160</v>
      </c>
      <c r="B27" s="224">
        <f>B26/(B26-(B26*B25))-1</f>
        <v>6.5978850116714893E-2</v>
      </c>
    </row>
  </sheetData>
  <sheetProtection algorithmName="SHA-512" hashValue="BUhuCJNEL5yvjOBCN+AEyF25tZvKVxzg6pw1GEB/aHt374b3vTUmqODXrWWEdg6ls8j2R7ul4XseYAoc2Z0YXw==" saltValue="3OBJ9wWcOqEqnjradDzNb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5F38-B931-4094-89B6-F52BC0E6D752}">
  <sheetPr codeName="Sheet7">
    <pageSetUpPr fitToPage="1"/>
  </sheetPr>
  <dimension ref="A1:D3265"/>
  <sheetViews>
    <sheetView topLeftCell="A3076" workbookViewId="0">
      <selection activeCell="B3085" sqref="B2:B3264"/>
    </sheetView>
  </sheetViews>
  <sheetFormatPr defaultColWidth="9.140625" defaultRowHeight="14.25"/>
  <cols>
    <col min="1" max="1" width="18.5703125" style="17" customWidth="1"/>
    <col min="2" max="2" width="19.7109375" style="17" customWidth="1"/>
    <col min="3" max="3" width="19.140625" style="17" bestFit="1" customWidth="1"/>
    <col min="4" max="4" width="22.28515625" style="17" bestFit="1" customWidth="1"/>
    <col min="5" max="16384" width="9.140625" style="17"/>
  </cols>
  <sheetData>
    <row r="1" spans="1:4" ht="47.25">
      <c r="A1" s="14" t="s">
        <v>57</v>
      </c>
      <c r="B1" s="15" t="s">
        <v>161</v>
      </c>
      <c r="C1" s="15" t="s">
        <v>162</v>
      </c>
      <c r="D1" s="16" t="s">
        <v>163</v>
      </c>
    </row>
    <row r="2" spans="1:4" ht="28.5">
      <c r="A2" s="78" t="s">
        <v>112</v>
      </c>
      <c r="B2" s="41" t="s">
        <v>112</v>
      </c>
      <c r="C2" s="79">
        <v>0.42799999999999999</v>
      </c>
      <c r="D2" s="80">
        <v>0.42799999999999999</v>
      </c>
    </row>
    <row r="3" spans="1:4" ht="57">
      <c r="A3" s="78" t="s">
        <v>164</v>
      </c>
      <c r="B3" s="41" t="s">
        <v>165</v>
      </c>
      <c r="C3" s="79">
        <v>4.5100000000000001E-2</v>
      </c>
      <c r="D3" s="80">
        <v>4.5100000000000001E-2</v>
      </c>
    </row>
    <row r="4" spans="1:4" ht="42.75">
      <c r="A4" s="78" t="s">
        <v>166</v>
      </c>
      <c r="B4" s="41" t="s">
        <v>137</v>
      </c>
      <c r="C4" s="79">
        <v>3.1399999999999997E-2</v>
      </c>
      <c r="D4" s="80">
        <v>3.1399999999999997E-2</v>
      </c>
    </row>
    <row r="5" spans="1:4" ht="57">
      <c r="A5" s="78" t="s">
        <v>167</v>
      </c>
      <c r="B5" s="41" t="s">
        <v>168</v>
      </c>
      <c r="C5" s="79">
        <v>0</v>
      </c>
      <c r="D5" s="80">
        <v>0</v>
      </c>
    </row>
    <row r="6" spans="1:4" ht="42.75">
      <c r="A6" s="78" t="s">
        <v>169</v>
      </c>
      <c r="B6" s="41" t="s">
        <v>170</v>
      </c>
      <c r="C6" s="79">
        <v>0</v>
      </c>
      <c r="D6" s="80">
        <v>0</v>
      </c>
    </row>
    <row r="7" spans="1:4" ht="42.75">
      <c r="A7" s="78" t="s">
        <v>171</v>
      </c>
      <c r="B7" s="41" t="s">
        <v>172</v>
      </c>
      <c r="C7" s="79">
        <v>0</v>
      </c>
      <c r="D7" s="80">
        <v>0</v>
      </c>
    </row>
    <row r="8" spans="1:4" ht="42.75">
      <c r="A8" s="78" t="s">
        <v>173</v>
      </c>
      <c r="B8" s="41" t="s">
        <v>174</v>
      </c>
      <c r="C8" s="79">
        <v>0</v>
      </c>
      <c r="D8" s="80">
        <v>0</v>
      </c>
    </row>
    <row r="9" spans="1:4" ht="42.75">
      <c r="A9" s="78" t="s">
        <v>175</v>
      </c>
      <c r="B9" s="41" t="s">
        <v>176</v>
      </c>
      <c r="C9" s="79">
        <v>0</v>
      </c>
      <c r="D9" s="80">
        <v>0</v>
      </c>
    </row>
    <row r="10" spans="1:4" ht="28.5">
      <c r="A10" s="78" t="s">
        <v>177</v>
      </c>
      <c r="B10" s="76">
        <v>10652</v>
      </c>
      <c r="C10" s="81">
        <v>1.4009</v>
      </c>
      <c r="D10" s="82">
        <v>7.8700000000000006E-2</v>
      </c>
    </row>
    <row r="11" spans="1:4" ht="28.5">
      <c r="A11" s="78" t="s">
        <v>178</v>
      </c>
      <c r="B11" s="76">
        <v>10777</v>
      </c>
      <c r="C11" s="81">
        <v>1.4604999999999999</v>
      </c>
      <c r="D11" s="82">
        <v>3.2399999999999998E-2</v>
      </c>
    </row>
    <row r="12" spans="1:4" ht="28.5">
      <c r="A12" s="78" t="s">
        <v>179</v>
      </c>
      <c r="B12" s="76">
        <v>55094</v>
      </c>
      <c r="C12" s="81">
        <v>0.68140000000000001</v>
      </c>
      <c r="D12" s="82">
        <v>3.5000000000000001E-3</v>
      </c>
    </row>
    <row r="13" spans="1:4" ht="28.5">
      <c r="A13" s="78" t="s">
        <v>180</v>
      </c>
      <c r="B13" s="76">
        <v>50049</v>
      </c>
      <c r="C13" s="81">
        <v>2.3536000000000001</v>
      </c>
      <c r="D13" s="82">
        <v>5.5E-2</v>
      </c>
    </row>
    <row r="14" spans="1:4" ht="42.75">
      <c r="A14" s="78" t="s">
        <v>181</v>
      </c>
      <c r="B14" s="76">
        <v>50110</v>
      </c>
      <c r="C14" s="81">
        <v>0.45490000000000003</v>
      </c>
      <c r="D14" s="82">
        <v>8.9999999999999993E-3</v>
      </c>
    </row>
    <row r="15" spans="1:4">
      <c r="A15" s="78" t="s">
        <v>182</v>
      </c>
      <c r="B15" s="76">
        <v>10772</v>
      </c>
      <c r="C15" s="81">
        <v>1.7451000000000001</v>
      </c>
      <c r="D15" s="82">
        <v>5.8400000000000001E-2</v>
      </c>
    </row>
    <row r="16" spans="1:4" ht="28.5">
      <c r="A16" s="78" t="s">
        <v>183</v>
      </c>
      <c r="B16" s="76">
        <v>50293</v>
      </c>
      <c r="C16" s="81">
        <v>1.1627000000000001</v>
      </c>
      <c r="D16" s="82">
        <v>2.1700000000000001E-2</v>
      </c>
    </row>
    <row r="17" spans="1:4" ht="42.75">
      <c r="A17" s="78" t="s">
        <v>184</v>
      </c>
      <c r="B17" s="76">
        <v>50571</v>
      </c>
      <c r="C17" s="81">
        <v>0.96130000000000004</v>
      </c>
      <c r="D17" s="82">
        <v>4.8999999999999998E-3</v>
      </c>
    </row>
    <row r="18" spans="1:4" ht="28.5">
      <c r="A18" s="78" t="s">
        <v>185</v>
      </c>
      <c r="B18" s="76">
        <v>58007</v>
      </c>
      <c r="C18" s="81">
        <v>0.55620000000000003</v>
      </c>
      <c r="D18" s="82">
        <v>2.8E-3</v>
      </c>
    </row>
    <row r="19" spans="1:4" ht="28.5">
      <c r="A19" s="78" t="s">
        <v>186</v>
      </c>
      <c r="B19" s="76">
        <v>10472</v>
      </c>
      <c r="C19" s="81">
        <v>0.63060000000000005</v>
      </c>
      <c r="D19" s="82">
        <v>3.5000000000000001E-3</v>
      </c>
    </row>
    <row r="20" spans="1:4" ht="28.5">
      <c r="A20" s="78" t="s">
        <v>187</v>
      </c>
      <c r="B20" s="76">
        <v>55161</v>
      </c>
      <c r="C20" s="81">
        <v>0.53300000000000003</v>
      </c>
      <c r="D20" s="82">
        <v>2.7000000000000001E-3</v>
      </c>
    </row>
    <row r="21" spans="1:4" ht="42.75">
      <c r="A21" s="78" t="s">
        <v>188</v>
      </c>
      <c r="B21" s="76">
        <v>59658</v>
      </c>
      <c r="C21" s="81">
        <v>0.4128</v>
      </c>
      <c r="D21" s="82">
        <v>1.37E-2</v>
      </c>
    </row>
    <row r="22" spans="1:4" ht="42.75">
      <c r="A22" s="78" t="s">
        <v>189</v>
      </c>
      <c r="B22" s="76">
        <v>55752</v>
      </c>
      <c r="C22" s="81">
        <v>0.42820000000000003</v>
      </c>
      <c r="D22" s="82">
        <v>2.2000000000000001E-3</v>
      </c>
    </row>
    <row r="23" spans="1:4" ht="42.75">
      <c r="A23" s="78" t="s">
        <v>189</v>
      </c>
      <c r="B23" s="76">
        <v>55753</v>
      </c>
      <c r="C23" s="81">
        <v>0.42820000000000003</v>
      </c>
      <c r="D23" s="82">
        <v>2.2000000000000001E-3</v>
      </c>
    </row>
    <row r="24" spans="1:4" ht="42.75">
      <c r="A24" s="78" t="s">
        <v>189</v>
      </c>
      <c r="B24" s="76">
        <v>55880</v>
      </c>
      <c r="C24" s="81">
        <v>0.42820000000000003</v>
      </c>
      <c r="D24" s="82">
        <v>2.2000000000000001E-3</v>
      </c>
    </row>
    <row r="25" spans="1:4" ht="71.25">
      <c r="A25" s="78" t="s">
        <v>190</v>
      </c>
      <c r="B25" s="76">
        <v>7527</v>
      </c>
      <c r="C25" s="81">
        <v>0.46839999999999998</v>
      </c>
      <c r="D25" s="82">
        <v>0.46810000000000002</v>
      </c>
    </row>
    <row r="26" spans="1:4" ht="42.75">
      <c r="A26" s="78" t="s">
        <v>191</v>
      </c>
      <c r="B26" s="76">
        <v>10026</v>
      </c>
      <c r="C26" s="81">
        <v>1.0139</v>
      </c>
      <c r="D26" s="82">
        <v>0.2326</v>
      </c>
    </row>
    <row r="27" spans="1:4" ht="42.75">
      <c r="A27" s="78" t="s">
        <v>192</v>
      </c>
      <c r="B27" s="76">
        <v>50696</v>
      </c>
      <c r="C27" s="81">
        <v>0.57920000000000005</v>
      </c>
      <c r="D27" s="82">
        <v>0.13109999999999999</v>
      </c>
    </row>
    <row r="28" spans="1:4">
      <c r="A28" s="78" t="s">
        <v>193</v>
      </c>
      <c r="B28" s="76">
        <v>10767</v>
      </c>
      <c r="C28" s="81">
        <v>1.8008999999999999</v>
      </c>
      <c r="D28" s="82">
        <v>0.1003</v>
      </c>
    </row>
    <row r="29" spans="1:4" ht="57">
      <c r="A29" s="78" t="s">
        <v>194</v>
      </c>
      <c r="B29" s="76">
        <v>50881</v>
      </c>
      <c r="C29" s="81">
        <v>1.847</v>
      </c>
      <c r="D29" s="82">
        <v>4.5600000000000002E-2</v>
      </c>
    </row>
    <row r="30" spans="1:4" ht="71.25">
      <c r="A30" s="78" t="s">
        <v>195</v>
      </c>
      <c r="B30" s="76">
        <v>55970</v>
      </c>
      <c r="C30" s="81">
        <v>0.38669999999999999</v>
      </c>
      <c r="D30" s="82">
        <v>0.38059999999999999</v>
      </c>
    </row>
    <row r="31" spans="1:4" ht="71.25">
      <c r="A31" s="78" t="s">
        <v>196</v>
      </c>
      <c r="B31" s="76">
        <v>55766</v>
      </c>
      <c r="C31" s="81">
        <v>1.1904999999999999</v>
      </c>
      <c r="D31" s="82">
        <v>6.1000000000000004E-3</v>
      </c>
    </row>
    <row r="32" spans="1:4" ht="28.5">
      <c r="A32" s="78" t="s">
        <v>197</v>
      </c>
      <c r="B32" s="76">
        <v>54567</v>
      </c>
      <c r="C32" s="81">
        <v>0.75939999999999996</v>
      </c>
      <c r="D32" s="82">
        <v>3.8999999999999998E-3</v>
      </c>
    </row>
    <row r="33" spans="1:4" ht="42.75">
      <c r="A33" s="78" t="s">
        <v>198</v>
      </c>
      <c r="B33" s="76">
        <v>54626</v>
      </c>
      <c r="C33" s="81">
        <v>1.1335</v>
      </c>
      <c r="D33" s="82">
        <v>4.1000000000000002E-2</v>
      </c>
    </row>
    <row r="34" spans="1:4">
      <c r="A34" s="78" t="s">
        <v>199</v>
      </c>
      <c r="B34" s="76">
        <v>10661</v>
      </c>
      <c r="C34" s="81">
        <v>4.7899999999999998E-2</v>
      </c>
      <c r="D34" s="82">
        <v>3.8999999999999998E-3</v>
      </c>
    </row>
    <row r="35" spans="1:4" ht="42.75">
      <c r="A35" s="78" t="s">
        <v>200</v>
      </c>
      <c r="B35" s="76">
        <v>52099</v>
      </c>
      <c r="C35" s="81">
        <v>0.5575</v>
      </c>
      <c r="D35" s="82">
        <v>0.15290000000000001</v>
      </c>
    </row>
    <row r="36" spans="1:4" ht="28.5">
      <c r="A36" s="78" t="s">
        <v>201</v>
      </c>
      <c r="B36" s="76">
        <v>50560</v>
      </c>
      <c r="C36" s="81">
        <v>1.9927999999999999</v>
      </c>
      <c r="D36" s="82">
        <v>4.48E-2</v>
      </c>
    </row>
    <row r="37" spans="1:4" ht="28.5">
      <c r="A37" s="78" t="s">
        <v>202</v>
      </c>
      <c r="B37" s="76">
        <v>57163</v>
      </c>
      <c r="C37" s="81">
        <v>0.71960000000000002</v>
      </c>
      <c r="D37" s="82">
        <v>3.7000000000000002E-3</v>
      </c>
    </row>
    <row r="38" spans="1:4" ht="57">
      <c r="A38" s="78" t="s">
        <v>203</v>
      </c>
      <c r="B38" s="76">
        <v>10748</v>
      </c>
      <c r="C38" s="81">
        <v>0.63360000000000005</v>
      </c>
      <c r="D38" s="82">
        <v>3.5999999999999999E-3</v>
      </c>
    </row>
    <row r="39" spans="1:4" ht="42.75">
      <c r="A39" s="78" t="s">
        <v>204</v>
      </c>
      <c r="B39" s="76">
        <v>50112</v>
      </c>
      <c r="C39" s="81">
        <v>2.2532000000000001</v>
      </c>
      <c r="D39" s="82">
        <v>4.7300000000000002E-2</v>
      </c>
    </row>
    <row r="40" spans="1:4" ht="28.5">
      <c r="A40" s="78" t="s">
        <v>205</v>
      </c>
      <c r="B40" s="76">
        <v>54015</v>
      </c>
      <c r="C40" s="81">
        <v>0.94430000000000003</v>
      </c>
      <c r="D40" s="82">
        <v>6.4000000000000003E-3</v>
      </c>
    </row>
    <row r="41" spans="1:4" ht="42.75">
      <c r="A41" s="78" t="s">
        <v>206</v>
      </c>
      <c r="B41" s="76">
        <v>10091</v>
      </c>
      <c r="C41" s="81">
        <v>0.63790000000000002</v>
      </c>
      <c r="D41" s="82">
        <v>5.6500000000000002E-2</v>
      </c>
    </row>
    <row r="42" spans="1:4" ht="42.75">
      <c r="A42" s="78" t="s">
        <v>207</v>
      </c>
      <c r="B42" s="76">
        <v>10836</v>
      </c>
      <c r="C42" s="81">
        <v>1.3393999999999999</v>
      </c>
      <c r="D42" s="82">
        <v>3.2500000000000001E-2</v>
      </c>
    </row>
    <row r="43" spans="1:4" ht="42.75">
      <c r="A43" s="78" t="s">
        <v>208</v>
      </c>
      <c r="B43" s="76">
        <v>56036</v>
      </c>
      <c r="C43" s="81">
        <v>0.35709999999999997</v>
      </c>
      <c r="D43" s="82">
        <v>1.5599999999999999E-2</v>
      </c>
    </row>
    <row r="44" spans="1:4" ht="42.75">
      <c r="A44" s="78" t="s">
        <v>208</v>
      </c>
      <c r="B44" s="76">
        <v>57696</v>
      </c>
      <c r="C44" s="81">
        <v>0.35709999999999997</v>
      </c>
      <c r="D44" s="82">
        <v>1.5599999999999999E-2</v>
      </c>
    </row>
    <row r="45" spans="1:4" ht="57">
      <c r="A45" s="78" t="s">
        <v>209</v>
      </c>
      <c r="B45" s="76">
        <v>50492</v>
      </c>
      <c r="C45" s="81">
        <v>0.312</v>
      </c>
      <c r="D45" s="82">
        <v>3.8999999999999998E-3</v>
      </c>
    </row>
    <row r="46" spans="1:4" ht="28.5">
      <c r="A46" s="78" t="s">
        <v>210</v>
      </c>
      <c r="B46" s="76">
        <v>56428</v>
      </c>
      <c r="C46" s="81">
        <v>0.625</v>
      </c>
      <c r="D46" s="82">
        <v>3.2000000000000002E-3</v>
      </c>
    </row>
    <row r="47" spans="1:4" ht="28.5">
      <c r="A47" s="78" t="s">
        <v>211</v>
      </c>
      <c r="B47" s="76">
        <v>56895</v>
      </c>
      <c r="C47" s="81">
        <v>0.54459999999999997</v>
      </c>
      <c r="D47" s="82">
        <v>2.8E-3</v>
      </c>
    </row>
    <row r="48" spans="1:4" ht="42.75">
      <c r="A48" s="78" t="s">
        <v>212</v>
      </c>
      <c r="B48" s="76">
        <v>10144</v>
      </c>
      <c r="C48" s="81">
        <v>0.54620000000000002</v>
      </c>
      <c r="D48" s="82">
        <v>1.0800000000000001E-2</v>
      </c>
    </row>
    <row r="49" spans="1:4" ht="42.75">
      <c r="A49" s="78" t="s">
        <v>213</v>
      </c>
      <c r="B49" s="76">
        <v>54517</v>
      </c>
      <c r="C49" s="81">
        <v>3.5065</v>
      </c>
      <c r="D49" s="82">
        <v>7.7200000000000005E-2</v>
      </c>
    </row>
    <row r="50" spans="1:4" ht="42.75">
      <c r="A50" s="78" t="s">
        <v>214</v>
      </c>
      <c r="B50" s="76">
        <v>57133</v>
      </c>
      <c r="C50" s="81">
        <v>0.56310000000000004</v>
      </c>
      <c r="D50" s="82">
        <v>2.8999999999999998E-3</v>
      </c>
    </row>
    <row r="51" spans="1:4" ht="28.5">
      <c r="A51" s="78" t="s">
        <v>215</v>
      </c>
      <c r="B51" s="76">
        <v>10387</v>
      </c>
      <c r="C51" s="81">
        <v>1.0276000000000001</v>
      </c>
      <c r="D51" s="82">
        <v>5.3E-3</v>
      </c>
    </row>
    <row r="52" spans="1:4" ht="28.5">
      <c r="A52" s="78" t="s">
        <v>216</v>
      </c>
      <c r="B52" s="76">
        <v>56469</v>
      </c>
      <c r="C52" s="81">
        <v>0.48089999999999999</v>
      </c>
      <c r="D52" s="82">
        <v>1.15E-2</v>
      </c>
    </row>
    <row r="53" spans="1:4" ht="28.5">
      <c r="A53" s="78" t="s">
        <v>217</v>
      </c>
      <c r="B53" s="76">
        <v>57362</v>
      </c>
      <c r="C53" s="81">
        <v>1.0423</v>
      </c>
      <c r="D53" s="82">
        <v>5.3E-3</v>
      </c>
    </row>
    <row r="54" spans="1:4" ht="28.5">
      <c r="A54" s="78" t="s">
        <v>218</v>
      </c>
      <c r="B54" s="76">
        <v>56897</v>
      </c>
      <c r="C54" s="81">
        <v>0.7208</v>
      </c>
      <c r="D54" s="82">
        <v>3.7000000000000002E-3</v>
      </c>
    </row>
    <row r="55" spans="1:4" ht="42.75">
      <c r="A55" s="78" t="s">
        <v>219</v>
      </c>
      <c r="B55" s="76">
        <v>56898</v>
      </c>
      <c r="C55" s="81">
        <v>1.0035000000000001</v>
      </c>
      <c r="D55" s="82">
        <v>5.1000000000000004E-3</v>
      </c>
    </row>
    <row r="56" spans="1:4" ht="28.5">
      <c r="A56" s="78" t="s">
        <v>220</v>
      </c>
      <c r="B56" s="76">
        <v>54238</v>
      </c>
      <c r="C56" s="81">
        <v>1.3744000000000001</v>
      </c>
      <c r="D56" s="82">
        <v>0.03</v>
      </c>
    </row>
    <row r="57" spans="1:4" ht="42.75">
      <c r="A57" s="78" t="s">
        <v>221</v>
      </c>
      <c r="B57" s="76">
        <v>57988</v>
      </c>
      <c r="C57" s="81">
        <v>1.0994999999999999</v>
      </c>
      <c r="D57" s="82">
        <v>5.5999999999999999E-3</v>
      </c>
    </row>
    <row r="58" spans="1:4" ht="28.5">
      <c r="A58" s="78" t="s">
        <v>222</v>
      </c>
      <c r="B58" s="76">
        <v>58429</v>
      </c>
      <c r="C58" s="81">
        <v>0.69850000000000001</v>
      </c>
      <c r="D58" s="82">
        <v>3.5999999999999999E-3</v>
      </c>
    </row>
    <row r="59" spans="1:4" ht="28.5">
      <c r="A59" s="78" t="s">
        <v>223</v>
      </c>
      <c r="B59" s="76">
        <v>58435</v>
      </c>
      <c r="C59" s="81">
        <v>0.51539999999999997</v>
      </c>
      <c r="D59" s="82">
        <v>2.5999999999999999E-3</v>
      </c>
    </row>
    <row r="60" spans="1:4" ht="28.5">
      <c r="A60" s="78" t="s">
        <v>224</v>
      </c>
      <c r="B60" s="76">
        <v>58436</v>
      </c>
      <c r="C60" s="81">
        <v>0.52159999999999995</v>
      </c>
      <c r="D60" s="82">
        <v>2.7000000000000001E-3</v>
      </c>
    </row>
    <row r="61" spans="1:4" ht="28.5">
      <c r="A61" s="78" t="s">
        <v>225</v>
      </c>
      <c r="B61" s="76">
        <v>58437</v>
      </c>
      <c r="C61" s="81">
        <v>0.53</v>
      </c>
      <c r="D61" s="82">
        <v>2.7000000000000001E-3</v>
      </c>
    </row>
    <row r="62" spans="1:4" ht="28.5">
      <c r="A62" s="78" t="s">
        <v>226</v>
      </c>
      <c r="B62" s="76">
        <v>59461</v>
      </c>
      <c r="C62" s="81">
        <v>0.54510000000000003</v>
      </c>
      <c r="D62" s="82">
        <v>2.8E-3</v>
      </c>
    </row>
    <row r="63" spans="1:4" ht="42.75">
      <c r="A63" s="78" t="s">
        <v>227</v>
      </c>
      <c r="B63" s="76">
        <v>59952</v>
      </c>
      <c r="C63" s="81">
        <v>0.56079999999999997</v>
      </c>
      <c r="D63" s="82">
        <v>2.8999999999999998E-3</v>
      </c>
    </row>
    <row r="64" spans="1:4" ht="28.5">
      <c r="A64" s="78" t="s">
        <v>228</v>
      </c>
      <c r="B64" s="76">
        <v>60960</v>
      </c>
      <c r="C64" s="81">
        <v>0.6855</v>
      </c>
      <c r="D64" s="82">
        <v>0.2591</v>
      </c>
    </row>
    <row r="65" spans="1:4" ht="57">
      <c r="A65" s="78" t="s">
        <v>229</v>
      </c>
      <c r="B65" s="76">
        <v>59299</v>
      </c>
      <c r="C65" s="81">
        <v>0.53720000000000001</v>
      </c>
      <c r="D65" s="82">
        <v>2.7000000000000001E-3</v>
      </c>
    </row>
    <row r="66" spans="1:4" ht="28.5">
      <c r="A66" s="78" t="s">
        <v>230</v>
      </c>
      <c r="B66" s="76">
        <v>65517</v>
      </c>
      <c r="C66" s="81">
        <v>2.1267999999999998</v>
      </c>
      <c r="D66" s="82">
        <v>3.6299999999999999E-2</v>
      </c>
    </row>
    <row r="67" spans="1:4" ht="28.5">
      <c r="A67" s="78" t="s">
        <v>231</v>
      </c>
      <c r="B67" s="76">
        <v>10684</v>
      </c>
      <c r="C67" s="81">
        <v>0.45710000000000001</v>
      </c>
      <c r="D67" s="82">
        <v>0.45710000000000001</v>
      </c>
    </row>
    <row r="68" spans="1:4" ht="28.5">
      <c r="A68" s="78" t="s">
        <v>231</v>
      </c>
      <c r="B68" s="76">
        <v>10685</v>
      </c>
      <c r="C68" s="81">
        <v>0.45710000000000001</v>
      </c>
      <c r="D68" s="82">
        <v>0.45710000000000001</v>
      </c>
    </row>
    <row r="69" spans="1:4" ht="57">
      <c r="A69" s="78" t="s">
        <v>232</v>
      </c>
      <c r="B69" s="76">
        <v>50064</v>
      </c>
      <c r="C69" s="81">
        <v>0.50219999999999998</v>
      </c>
      <c r="D69" s="82">
        <v>0.50219999999999998</v>
      </c>
    </row>
    <row r="70" spans="1:4" ht="57">
      <c r="A70" s="78" t="s">
        <v>233</v>
      </c>
      <c r="B70" s="76">
        <v>50837</v>
      </c>
      <c r="C70" s="81">
        <v>2.5863999999999998</v>
      </c>
      <c r="D70" s="82">
        <v>2.5863999999999998</v>
      </c>
    </row>
    <row r="71" spans="1:4" ht="57">
      <c r="A71" s="78" t="s">
        <v>234</v>
      </c>
      <c r="B71" s="76">
        <v>7315</v>
      </c>
      <c r="C71" s="81">
        <v>0.57420000000000004</v>
      </c>
      <c r="D71" s="82">
        <v>0.57420000000000004</v>
      </c>
    </row>
    <row r="72" spans="1:4" ht="71.25">
      <c r="A72" s="78" t="s">
        <v>235</v>
      </c>
      <c r="B72" s="76">
        <v>7552</v>
      </c>
      <c r="C72" s="81">
        <v>0.4451</v>
      </c>
      <c r="D72" s="82">
        <v>0.4451</v>
      </c>
    </row>
    <row r="73" spans="1:4" ht="42.75">
      <c r="A73" s="78" t="s">
        <v>236</v>
      </c>
      <c r="B73" s="76">
        <v>55557</v>
      </c>
      <c r="C73" s="81">
        <v>4.3644999999999996</v>
      </c>
      <c r="D73" s="82">
        <v>4.3644999999999996</v>
      </c>
    </row>
    <row r="74" spans="1:4" ht="42.75">
      <c r="A74" s="78" t="s">
        <v>237</v>
      </c>
      <c r="B74" s="76">
        <v>10169</v>
      </c>
      <c r="C74" s="81">
        <v>0.45700000000000002</v>
      </c>
      <c r="D74" s="82">
        <v>0.45700000000000002</v>
      </c>
    </row>
    <row r="75" spans="1:4" ht="42.75">
      <c r="A75" s="78" t="s">
        <v>238</v>
      </c>
      <c r="B75" s="76">
        <v>10548</v>
      </c>
      <c r="C75" s="81">
        <v>0.51090000000000002</v>
      </c>
      <c r="D75" s="82">
        <v>0.51090000000000002</v>
      </c>
    </row>
    <row r="76" spans="1:4" ht="57">
      <c r="A76" s="78" t="s">
        <v>239</v>
      </c>
      <c r="B76" s="76">
        <v>10213</v>
      </c>
      <c r="C76" s="81">
        <v>2.3489</v>
      </c>
      <c r="D76" s="82">
        <v>2.3489</v>
      </c>
    </row>
    <row r="77" spans="1:4">
      <c r="A77" s="78" t="s">
        <v>240</v>
      </c>
      <c r="B77" s="76">
        <v>50493</v>
      </c>
      <c r="C77" s="81">
        <v>0.55730000000000002</v>
      </c>
      <c r="D77" s="82">
        <v>0.55730000000000002</v>
      </c>
    </row>
    <row r="78" spans="1:4" ht="57">
      <c r="A78" s="78" t="s">
        <v>241</v>
      </c>
      <c r="B78" s="76">
        <v>389</v>
      </c>
      <c r="C78" s="81">
        <v>0.45979999999999999</v>
      </c>
      <c r="D78" s="82">
        <v>0.45979999999999999</v>
      </c>
    </row>
    <row r="79" spans="1:4" ht="42.75">
      <c r="A79" s="78" t="s">
        <v>242</v>
      </c>
      <c r="B79" s="76">
        <v>57901</v>
      </c>
      <c r="C79" s="81">
        <v>0.49399999999999999</v>
      </c>
      <c r="D79" s="82">
        <v>0.49399999999999999</v>
      </c>
    </row>
    <row r="80" spans="1:4" ht="57">
      <c r="A80" s="78" t="s">
        <v>243</v>
      </c>
      <c r="B80" s="76">
        <v>55810</v>
      </c>
      <c r="C80" s="81">
        <v>0.54339999999999999</v>
      </c>
      <c r="D80" s="82">
        <v>0.54339999999999999</v>
      </c>
    </row>
    <row r="81" spans="1:4" ht="57">
      <c r="A81" s="78" t="s">
        <v>243</v>
      </c>
      <c r="B81" s="76">
        <v>10034</v>
      </c>
      <c r="C81" s="81">
        <v>0.54339999999999999</v>
      </c>
      <c r="D81" s="82">
        <v>0.54339999999999999</v>
      </c>
    </row>
    <row r="82" spans="1:4" ht="42.75">
      <c r="A82" s="78" t="s">
        <v>244</v>
      </c>
      <c r="B82" s="76">
        <v>422</v>
      </c>
      <c r="C82" s="81">
        <v>0.73129999999999995</v>
      </c>
      <c r="D82" s="82">
        <v>0.73129999999999995</v>
      </c>
    </row>
    <row r="83" spans="1:4" ht="42.75">
      <c r="A83" s="78" t="s">
        <v>244</v>
      </c>
      <c r="B83" s="76">
        <v>420</v>
      </c>
      <c r="C83" s="81">
        <v>0.73129999999999995</v>
      </c>
      <c r="D83" s="82">
        <v>0.73129999999999995</v>
      </c>
    </row>
    <row r="84" spans="1:4" ht="28.5">
      <c r="A84" s="78" t="s">
        <v>245</v>
      </c>
      <c r="B84" s="76">
        <v>377</v>
      </c>
      <c r="C84" s="81">
        <v>0.55930000000000002</v>
      </c>
      <c r="D84" s="82">
        <v>0.55930000000000002</v>
      </c>
    </row>
    <row r="85" spans="1:4" ht="42.75">
      <c r="A85" s="78" t="s">
        <v>246</v>
      </c>
      <c r="B85" s="76">
        <v>10349</v>
      </c>
      <c r="C85" s="81">
        <v>0.372</v>
      </c>
      <c r="D85" s="82">
        <v>0.372</v>
      </c>
    </row>
    <row r="86" spans="1:4" ht="71.25">
      <c r="A86" s="78" t="s">
        <v>247</v>
      </c>
      <c r="B86" s="76">
        <v>399</v>
      </c>
      <c r="C86" s="81">
        <v>0.50419999999999998</v>
      </c>
      <c r="D86" s="82">
        <v>0.50419999999999998</v>
      </c>
    </row>
    <row r="87" spans="1:4" ht="42.75">
      <c r="A87" s="78" t="s">
        <v>248</v>
      </c>
      <c r="B87" s="76">
        <v>50541</v>
      </c>
      <c r="C87" s="81">
        <v>0.70030000000000003</v>
      </c>
      <c r="D87" s="82">
        <v>0.70030000000000003</v>
      </c>
    </row>
    <row r="88" spans="1:4" ht="85.5">
      <c r="A88" s="78" t="s">
        <v>249</v>
      </c>
      <c r="B88" s="76">
        <v>400</v>
      </c>
      <c r="C88" s="81">
        <v>0.40160000000000001</v>
      </c>
      <c r="D88" s="82">
        <v>0.40160000000000001</v>
      </c>
    </row>
    <row r="89" spans="1:4" ht="28.5">
      <c r="A89" s="78" t="s">
        <v>250</v>
      </c>
      <c r="B89" s="76">
        <v>50495</v>
      </c>
      <c r="C89" s="81">
        <v>0.54500000000000004</v>
      </c>
      <c r="D89" s="82">
        <v>0.54500000000000004</v>
      </c>
    </row>
    <row r="90" spans="1:4" ht="42.75">
      <c r="A90" s="78" t="s">
        <v>251</v>
      </c>
      <c r="B90" s="76">
        <v>246</v>
      </c>
      <c r="C90" s="81">
        <v>0.46289999999999998</v>
      </c>
      <c r="D90" s="82">
        <v>0.46289999999999998</v>
      </c>
    </row>
    <row r="91" spans="1:4" ht="28.5">
      <c r="A91" s="78" t="s">
        <v>252</v>
      </c>
      <c r="B91" s="76">
        <v>335</v>
      </c>
      <c r="C91" s="81">
        <v>0.36559999999999998</v>
      </c>
      <c r="D91" s="82">
        <v>0.36559999999999998</v>
      </c>
    </row>
    <row r="92" spans="1:4" ht="28.5">
      <c r="A92" s="78" t="s">
        <v>252</v>
      </c>
      <c r="B92" s="76">
        <v>62116</v>
      </c>
      <c r="C92" s="81">
        <v>0.36559999999999998</v>
      </c>
      <c r="D92" s="82">
        <v>0.36559999999999998</v>
      </c>
    </row>
    <row r="93" spans="1:4" ht="42.75">
      <c r="A93" s="78" t="s">
        <v>253</v>
      </c>
      <c r="B93" s="76">
        <v>10427</v>
      </c>
      <c r="C93" s="81">
        <v>0.87219999999999998</v>
      </c>
      <c r="D93" s="82">
        <v>0.87219999999999998</v>
      </c>
    </row>
    <row r="94" spans="1:4" ht="57">
      <c r="A94" s="78" t="s">
        <v>254</v>
      </c>
      <c r="B94" s="76">
        <v>10405</v>
      </c>
      <c r="C94" s="81">
        <v>0.54630000000000001</v>
      </c>
      <c r="D94" s="82">
        <v>0.54630000000000001</v>
      </c>
    </row>
    <row r="95" spans="1:4">
      <c r="A95" s="78" t="s">
        <v>255</v>
      </c>
      <c r="B95" s="76">
        <v>50494</v>
      </c>
      <c r="C95" s="81">
        <v>0.55740000000000001</v>
      </c>
      <c r="D95" s="82">
        <v>0.55740000000000001</v>
      </c>
    </row>
    <row r="96" spans="1:4" ht="28.5">
      <c r="A96" s="78" t="s">
        <v>256</v>
      </c>
      <c r="B96" s="76">
        <v>10206</v>
      </c>
      <c r="C96" s="81">
        <v>0.4335</v>
      </c>
      <c r="D96" s="82">
        <v>0.4335</v>
      </c>
    </row>
    <row r="97" spans="1:4" ht="28.5">
      <c r="A97" s="78" t="s">
        <v>257</v>
      </c>
      <c r="B97" s="76">
        <v>341</v>
      </c>
      <c r="C97" s="81">
        <v>0.90100000000000002</v>
      </c>
      <c r="D97" s="82">
        <v>0.90100000000000002</v>
      </c>
    </row>
    <row r="98" spans="1:4" ht="28.5">
      <c r="A98" s="78" t="s">
        <v>258</v>
      </c>
      <c r="B98" s="76">
        <v>52169</v>
      </c>
      <c r="C98" s="81">
        <v>0.22919999999999999</v>
      </c>
      <c r="D98" s="82">
        <v>0.22919999999999999</v>
      </c>
    </row>
    <row r="99" spans="1:4">
      <c r="A99" s="78" t="s">
        <v>259</v>
      </c>
      <c r="B99" s="76">
        <v>50624</v>
      </c>
      <c r="C99" s="81">
        <v>4.9283000000000001</v>
      </c>
      <c r="D99" s="82">
        <v>4.9283000000000001</v>
      </c>
    </row>
    <row r="100" spans="1:4" ht="28.5">
      <c r="A100" s="78" t="s">
        <v>260</v>
      </c>
      <c r="B100" s="76">
        <v>260</v>
      </c>
      <c r="C100" s="81">
        <v>0.37159999999999999</v>
      </c>
      <c r="D100" s="82">
        <v>0.37159999999999999</v>
      </c>
    </row>
    <row r="101" spans="1:4" ht="28.5">
      <c r="A101" s="78" t="s">
        <v>261</v>
      </c>
      <c r="B101" s="76">
        <v>50850</v>
      </c>
      <c r="C101" s="81">
        <v>0.63870000000000005</v>
      </c>
      <c r="D101" s="82">
        <v>0.63870000000000005</v>
      </c>
    </row>
    <row r="102" spans="1:4" ht="71.25">
      <c r="A102" s="78" t="s">
        <v>262</v>
      </c>
      <c r="B102" s="76">
        <v>7551</v>
      </c>
      <c r="C102" s="81">
        <v>0.4113</v>
      </c>
      <c r="D102" s="82">
        <v>0.4113</v>
      </c>
    </row>
    <row r="103" spans="1:4" ht="42.75">
      <c r="A103" s="78" t="s">
        <v>263</v>
      </c>
      <c r="B103" s="76">
        <v>7307</v>
      </c>
      <c r="C103" s="81">
        <v>0.48830000000000001</v>
      </c>
      <c r="D103" s="82">
        <v>0.48830000000000001</v>
      </c>
    </row>
    <row r="104" spans="1:4" ht="28.5">
      <c r="A104" s="78" t="s">
        <v>264</v>
      </c>
      <c r="B104" s="76">
        <v>52063</v>
      </c>
      <c r="C104" s="81">
        <v>0.81010000000000004</v>
      </c>
      <c r="D104" s="82">
        <v>0.81010000000000004</v>
      </c>
    </row>
    <row r="105" spans="1:4" ht="28.5">
      <c r="A105" s="78" t="s">
        <v>265</v>
      </c>
      <c r="B105" s="76">
        <v>52064</v>
      </c>
      <c r="C105" s="81">
        <v>1.9276</v>
      </c>
      <c r="D105" s="82">
        <v>1.9276</v>
      </c>
    </row>
    <row r="106" spans="1:4" ht="28.5">
      <c r="A106" s="78" t="s">
        <v>266</v>
      </c>
      <c r="B106" s="76">
        <v>50537</v>
      </c>
      <c r="C106" s="81">
        <v>0.3412</v>
      </c>
      <c r="D106" s="82">
        <v>0.3412</v>
      </c>
    </row>
    <row r="107" spans="1:4">
      <c r="A107" s="78" t="s">
        <v>267</v>
      </c>
      <c r="B107" s="76">
        <v>50612</v>
      </c>
      <c r="C107" s="81">
        <v>0.43080000000000002</v>
      </c>
      <c r="D107" s="82">
        <v>0.43080000000000002</v>
      </c>
    </row>
    <row r="108" spans="1:4">
      <c r="A108" s="78" t="s">
        <v>268</v>
      </c>
      <c r="B108" s="76">
        <v>50115</v>
      </c>
      <c r="C108" s="81">
        <v>0.45050000000000001</v>
      </c>
      <c r="D108" s="82">
        <v>0.45050000000000001</v>
      </c>
    </row>
    <row r="109" spans="1:4" ht="57">
      <c r="A109" s="78" t="s">
        <v>269</v>
      </c>
      <c r="B109" s="76">
        <v>50119</v>
      </c>
      <c r="C109" s="81">
        <v>0.51119999999999999</v>
      </c>
      <c r="D109" s="82">
        <v>0.51119999999999999</v>
      </c>
    </row>
    <row r="110" spans="1:4" ht="28.5">
      <c r="A110" s="78" t="s">
        <v>270</v>
      </c>
      <c r="B110" s="76">
        <v>56041</v>
      </c>
      <c r="C110" s="81">
        <v>0.45179999999999998</v>
      </c>
      <c r="D110" s="82">
        <v>0.45179999999999998</v>
      </c>
    </row>
    <row r="111" spans="1:4" ht="42.75">
      <c r="A111" s="78" t="s">
        <v>271</v>
      </c>
      <c r="B111" s="76">
        <v>52186</v>
      </c>
      <c r="C111" s="81">
        <v>0.43359999999999999</v>
      </c>
      <c r="D111" s="82">
        <v>0.43359999999999999</v>
      </c>
    </row>
    <row r="112" spans="1:4" ht="42.75">
      <c r="A112" s="78" t="s">
        <v>272</v>
      </c>
      <c r="B112" s="76">
        <v>10262</v>
      </c>
      <c r="C112" s="81">
        <v>0.2606</v>
      </c>
      <c r="D112" s="82">
        <v>0.2606</v>
      </c>
    </row>
    <row r="113" spans="1:4" ht="57">
      <c r="A113" s="78" t="s">
        <v>273</v>
      </c>
      <c r="B113" s="76">
        <v>54451</v>
      </c>
      <c r="C113" s="81">
        <v>1.6086</v>
      </c>
      <c r="D113" s="82">
        <v>1.6086</v>
      </c>
    </row>
    <row r="114" spans="1:4" ht="57">
      <c r="A114" s="78" t="s">
        <v>274</v>
      </c>
      <c r="B114" s="76">
        <v>55847</v>
      </c>
      <c r="C114" s="81">
        <v>0.59940000000000004</v>
      </c>
      <c r="D114" s="82">
        <v>0.59940000000000004</v>
      </c>
    </row>
    <row r="115" spans="1:4" ht="42.75">
      <c r="A115" s="78" t="s">
        <v>275</v>
      </c>
      <c r="B115" s="76">
        <v>55217</v>
      </c>
      <c r="C115" s="81">
        <v>0.34470000000000001</v>
      </c>
      <c r="D115" s="82">
        <v>0.34470000000000001</v>
      </c>
    </row>
    <row r="116" spans="1:4" ht="42.75">
      <c r="A116" s="78" t="s">
        <v>276</v>
      </c>
      <c r="B116" s="76">
        <v>55151</v>
      </c>
      <c r="C116" s="81">
        <v>0.41020000000000001</v>
      </c>
      <c r="D116" s="82">
        <v>0.41020000000000001</v>
      </c>
    </row>
    <row r="117" spans="1:4">
      <c r="A117" s="78" t="s">
        <v>277</v>
      </c>
      <c r="B117" s="76">
        <v>55295</v>
      </c>
      <c r="C117" s="81">
        <v>0.43030000000000002</v>
      </c>
      <c r="D117" s="82">
        <v>0.43030000000000002</v>
      </c>
    </row>
    <row r="118" spans="1:4" ht="42.75">
      <c r="A118" s="78" t="s">
        <v>278</v>
      </c>
      <c r="B118" s="76">
        <v>55393</v>
      </c>
      <c r="C118" s="81">
        <v>0.3891</v>
      </c>
      <c r="D118" s="82">
        <v>0.3891</v>
      </c>
    </row>
    <row r="119" spans="1:4" ht="57">
      <c r="A119" s="78" t="s">
        <v>279</v>
      </c>
      <c r="B119" s="76">
        <v>358</v>
      </c>
      <c r="C119" s="81">
        <v>0.40550000000000003</v>
      </c>
      <c r="D119" s="82">
        <v>0.40550000000000003</v>
      </c>
    </row>
    <row r="120" spans="1:4" ht="42.75">
      <c r="A120" s="78" t="s">
        <v>280</v>
      </c>
      <c r="B120" s="76">
        <v>55656</v>
      </c>
      <c r="C120" s="81">
        <v>0.37359999999999999</v>
      </c>
      <c r="D120" s="82">
        <v>0.37359999999999999</v>
      </c>
    </row>
    <row r="121" spans="1:4" ht="28.5">
      <c r="A121" s="78" t="s">
        <v>281</v>
      </c>
      <c r="B121" s="76">
        <v>55542</v>
      </c>
      <c r="C121" s="81">
        <v>0.58699999999999997</v>
      </c>
      <c r="D121" s="82">
        <v>0.58699999999999997</v>
      </c>
    </row>
    <row r="122" spans="1:4" ht="28.5">
      <c r="A122" s="78" t="s">
        <v>282</v>
      </c>
      <c r="B122" s="76">
        <v>55933</v>
      </c>
      <c r="C122" s="81">
        <v>0.45029999999999998</v>
      </c>
      <c r="D122" s="82">
        <v>0.45029999999999998</v>
      </c>
    </row>
    <row r="123" spans="1:4" ht="28.5">
      <c r="A123" s="78" t="s">
        <v>283</v>
      </c>
      <c r="B123" s="76">
        <v>55985</v>
      </c>
      <c r="C123" s="81">
        <v>0.622</v>
      </c>
      <c r="D123" s="82">
        <v>0.622</v>
      </c>
    </row>
    <row r="124" spans="1:4" ht="57">
      <c r="A124" s="78" t="s">
        <v>284</v>
      </c>
      <c r="B124" s="76">
        <v>56184</v>
      </c>
      <c r="C124" s="81">
        <v>0.55689999999999995</v>
      </c>
      <c r="D124" s="82">
        <v>0.55689999999999995</v>
      </c>
    </row>
    <row r="125" spans="1:4" ht="42.75">
      <c r="A125" s="78" t="s">
        <v>285</v>
      </c>
      <c r="B125" s="76">
        <v>56078</v>
      </c>
      <c r="C125" s="81">
        <v>0.4526</v>
      </c>
      <c r="D125" s="82">
        <v>0.4526</v>
      </c>
    </row>
    <row r="126" spans="1:4" ht="85.5">
      <c r="A126" s="78" t="s">
        <v>286</v>
      </c>
      <c r="B126" s="76">
        <v>55851</v>
      </c>
      <c r="C126" s="81">
        <v>6.8154000000000003</v>
      </c>
      <c r="D126" s="82">
        <v>6.8154000000000003</v>
      </c>
    </row>
    <row r="127" spans="1:4" ht="28.5">
      <c r="A127" s="78" t="s">
        <v>287</v>
      </c>
      <c r="B127" s="76">
        <v>55508</v>
      </c>
      <c r="C127" s="81">
        <v>0.58699999999999997</v>
      </c>
      <c r="D127" s="82">
        <v>0.58699999999999997</v>
      </c>
    </row>
    <row r="128" spans="1:4" ht="28.5">
      <c r="A128" s="78" t="s">
        <v>288</v>
      </c>
      <c r="B128" s="76">
        <v>55499</v>
      </c>
      <c r="C128" s="81">
        <v>0.59489999999999998</v>
      </c>
      <c r="D128" s="82">
        <v>0.59489999999999998</v>
      </c>
    </row>
    <row r="129" spans="1:4" ht="42.75">
      <c r="A129" s="78" t="s">
        <v>289</v>
      </c>
      <c r="B129" s="76">
        <v>10350</v>
      </c>
      <c r="C129" s="81">
        <v>0.54730000000000001</v>
      </c>
      <c r="D129" s="82">
        <v>0.54730000000000001</v>
      </c>
    </row>
    <row r="130" spans="1:4" ht="42.75">
      <c r="A130" s="78" t="s">
        <v>290</v>
      </c>
      <c r="B130" s="76">
        <v>56356</v>
      </c>
      <c r="C130" s="81">
        <v>0.46910000000000002</v>
      </c>
      <c r="D130" s="82">
        <v>0.46910000000000002</v>
      </c>
    </row>
    <row r="131" spans="1:4">
      <c r="A131" s="78" t="s">
        <v>291</v>
      </c>
      <c r="B131" s="76">
        <v>50200</v>
      </c>
      <c r="C131" s="81">
        <v>0.45550000000000002</v>
      </c>
      <c r="D131" s="82">
        <v>0.45550000000000002</v>
      </c>
    </row>
    <row r="132" spans="1:4" ht="57">
      <c r="A132" s="78" t="s">
        <v>292</v>
      </c>
      <c r="B132" s="76">
        <v>56143</v>
      </c>
      <c r="C132" s="81">
        <v>0.57140000000000002</v>
      </c>
      <c r="D132" s="82">
        <v>0.57140000000000002</v>
      </c>
    </row>
    <row r="133" spans="1:4" ht="57">
      <c r="A133" s="78" t="s">
        <v>293</v>
      </c>
      <c r="B133" s="76">
        <v>56473</v>
      </c>
      <c r="C133" s="81">
        <v>0.5333</v>
      </c>
      <c r="D133" s="82">
        <v>0.5333</v>
      </c>
    </row>
    <row r="134" spans="1:4" ht="57">
      <c r="A134" s="78" t="s">
        <v>294</v>
      </c>
      <c r="B134" s="76">
        <v>10875</v>
      </c>
      <c r="C134" s="81">
        <v>0.39689999999999998</v>
      </c>
      <c r="D134" s="82">
        <v>0</v>
      </c>
    </row>
    <row r="135" spans="1:4" ht="71.25">
      <c r="A135" s="78" t="s">
        <v>295</v>
      </c>
      <c r="B135" s="76">
        <v>10634</v>
      </c>
      <c r="C135" s="81">
        <v>2.6800000000000001E-2</v>
      </c>
      <c r="D135" s="82">
        <v>0</v>
      </c>
    </row>
    <row r="136" spans="1:4" ht="71.25">
      <c r="A136" s="78" t="s">
        <v>296</v>
      </c>
      <c r="B136" s="76">
        <v>10631</v>
      </c>
      <c r="C136" s="81">
        <v>6.3200000000000006E-2</v>
      </c>
      <c r="D136" s="82">
        <v>0</v>
      </c>
    </row>
    <row r="137" spans="1:4" ht="71.25">
      <c r="A137" s="78" t="s">
        <v>297</v>
      </c>
      <c r="B137" s="76">
        <v>10878</v>
      </c>
      <c r="C137" s="81">
        <v>7.1999999999999995E-2</v>
      </c>
      <c r="D137" s="82">
        <v>0</v>
      </c>
    </row>
    <row r="138" spans="1:4" ht="71.25">
      <c r="A138" s="78" t="s">
        <v>297</v>
      </c>
      <c r="B138" s="76">
        <v>10879</v>
      </c>
      <c r="C138" s="81">
        <v>7.1999999999999995E-2</v>
      </c>
      <c r="D138" s="82">
        <v>0</v>
      </c>
    </row>
    <row r="139" spans="1:4" ht="71.25">
      <c r="A139" s="78" t="s">
        <v>297</v>
      </c>
      <c r="B139" s="76">
        <v>10759</v>
      </c>
      <c r="C139" s="81">
        <v>7.1999999999999995E-2</v>
      </c>
      <c r="D139" s="82">
        <v>0</v>
      </c>
    </row>
    <row r="140" spans="1:4" ht="71.25">
      <c r="A140" s="78" t="s">
        <v>297</v>
      </c>
      <c r="B140" s="76">
        <v>54996</v>
      </c>
      <c r="C140" s="81">
        <v>7.1999999999999995E-2</v>
      </c>
      <c r="D140" s="82">
        <v>0</v>
      </c>
    </row>
    <row r="141" spans="1:4" ht="71.25">
      <c r="A141" s="78" t="s">
        <v>297</v>
      </c>
      <c r="B141" s="76">
        <v>55983</v>
      </c>
      <c r="C141" s="81">
        <v>7.1999999999999995E-2</v>
      </c>
      <c r="D141" s="82">
        <v>0</v>
      </c>
    </row>
    <row r="142" spans="1:4" ht="71.25">
      <c r="A142" s="78" t="s">
        <v>298</v>
      </c>
      <c r="B142" s="76">
        <v>55984</v>
      </c>
      <c r="C142" s="81">
        <v>7.1300000000000002E-2</v>
      </c>
      <c r="D142" s="82">
        <v>0</v>
      </c>
    </row>
    <row r="143" spans="1:4" ht="71.25">
      <c r="A143" s="78" t="s">
        <v>298</v>
      </c>
      <c r="B143" s="76">
        <v>10632</v>
      </c>
      <c r="C143" s="81">
        <v>7.1300000000000002E-2</v>
      </c>
      <c r="D143" s="82">
        <v>0</v>
      </c>
    </row>
    <row r="144" spans="1:4" ht="71.25">
      <c r="A144" s="78" t="s">
        <v>298</v>
      </c>
      <c r="B144" s="76">
        <v>50210</v>
      </c>
      <c r="C144" s="81">
        <v>7.1300000000000002E-2</v>
      </c>
      <c r="D144" s="82">
        <v>0</v>
      </c>
    </row>
    <row r="145" spans="1:4" ht="42.75">
      <c r="A145" s="78" t="s">
        <v>299</v>
      </c>
      <c r="B145" s="76">
        <v>50134</v>
      </c>
      <c r="C145" s="81">
        <v>0.35549999999999998</v>
      </c>
      <c r="D145" s="82">
        <v>0.35549999999999998</v>
      </c>
    </row>
    <row r="146" spans="1:4" ht="28.5">
      <c r="A146" s="78" t="s">
        <v>300</v>
      </c>
      <c r="B146" s="76">
        <v>10649</v>
      </c>
      <c r="C146" s="81">
        <v>0.49690000000000001</v>
      </c>
      <c r="D146" s="82">
        <v>0.49690000000000001</v>
      </c>
    </row>
    <row r="147" spans="1:4" ht="28.5">
      <c r="A147" s="78" t="s">
        <v>301</v>
      </c>
      <c r="B147" s="76">
        <v>52096</v>
      </c>
      <c r="C147" s="81">
        <v>0.59930000000000005</v>
      </c>
      <c r="D147" s="82">
        <v>0.59930000000000005</v>
      </c>
    </row>
    <row r="148" spans="1:4" ht="28.5">
      <c r="A148" s="78" t="s">
        <v>302</v>
      </c>
      <c r="B148" s="76">
        <v>10650</v>
      </c>
      <c r="C148" s="81">
        <v>0.50349999999999995</v>
      </c>
      <c r="D148" s="82">
        <v>0.50349999999999995</v>
      </c>
    </row>
    <row r="149" spans="1:4" ht="28.5">
      <c r="A149" s="78" t="s">
        <v>303</v>
      </c>
      <c r="B149" s="76">
        <v>56090</v>
      </c>
      <c r="C149" s="81">
        <v>1.0822000000000001</v>
      </c>
      <c r="D149" s="82">
        <v>1.0822000000000001</v>
      </c>
    </row>
    <row r="150" spans="1:4" ht="28.5">
      <c r="A150" s="78" t="s">
        <v>304</v>
      </c>
      <c r="B150" s="76">
        <v>54912</v>
      </c>
      <c r="C150" s="81">
        <v>2.3311999999999999</v>
      </c>
      <c r="D150" s="82">
        <v>2.3311999999999999</v>
      </c>
    </row>
    <row r="151" spans="1:4" ht="28.5">
      <c r="A151" s="78" t="s">
        <v>305</v>
      </c>
      <c r="B151" s="76">
        <v>55182</v>
      </c>
      <c r="C151" s="81">
        <v>0.38640000000000002</v>
      </c>
      <c r="D151" s="82">
        <v>0.38640000000000002</v>
      </c>
    </row>
    <row r="152" spans="1:4" ht="42.75">
      <c r="A152" s="78" t="s">
        <v>306</v>
      </c>
      <c r="B152" s="76">
        <v>52073</v>
      </c>
      <c r="C152" s="81">
        <v>0.41470000000000001</v>
      </c>
      <c r="D152" s="82">
        <v>0.41470000000000001</v>
      </c>
    </row>
    <row r="153" spans="1:4" ht="85.5">
      <c r="A153" s="78" t="s">
        <v>307</v>
      </c>
      <c r="B153" s="76">
        <v>404</v>
      </c>
      <c r="C153" s="81">
        <v>0.44209999999999999</v>
      </c>
      <c r="D153" s="82">
        <v>0.44209999999999999</v>
      </c>
    </row>
    <row r="154" spans="1:4" ht="42.75">
      <c r="A154" s="78" t="s">
        <v>308</v>
      </c>
      <c r="B154" s="76">
        <v>57573</v>
      </c>
      <c r="C154" s="81">
        <v>1.508</v>
      </c>
      <c r="D154" s="82">
        <v>1.508</v>
      </c>
    </row>
    <row r="155" spans="1:4" ht="71.25">
      <c r="A155" s="78" t="s">
        <v>309</v>
      </c>
      <c r="B155" s="76">
        <v>7266</v>
      </c>
      <c r="C155" s="81">
        <v>0.54469999999999996</v>
      </c>
      <c r="D155" s="82">
        <v>0.54469999999999996</v>
      </c>
    </row>
    <row r="156" spans="1:4">
      <c r="A156" s="78" t="s">
        <v>310</v>
      </c>
      <c r="B156" s="76">
        <v>54768</v>
      </c>
      <c r="C156" s="81">
        <v>0.51470000000000005</v>
      </c>
      <c r="D156" s="82">
        <v>0.51470000000000005</v>
      </c>
    </row>
    <row r="157" spans="1:4" ht="57">
      <c r="A157" s="78" t="s">
        <v>311</v>
      </c>
      <c r="B157" s="76">
        <v>56185</v>
      </c>
      <c r="C157" s="81">
        <v>0.5383</v>
      </c>
      <c r="D157" s="82">
        <v>0.5383</v>
      </c>
    </row>
    <row r="158" spans="1:4" ht="57">
      <c r="A158" s="78" t="s">
        <v>312</v>
      </c>
      <c r="B158" s="76">
        <v>56080</v>
      </c>
      <c r="C158" s="81">
        <v>0.46210000000000001</v>
      </c>
      <c r="D158" s="82">
        <v>0.46210000000000001</v>
      </c>
    </row>
    <row r="159" spans="1:4" ht="57">
      <c r="A159" s="78" t="s">
        <v>313</v>
      </c>
      <c r="B159" s="76">
        <v>55748</v>
      </c>
      <c r="C159" s="81">
        <v>0.46910000000000002</v>
      </c>
      <c r="D159" s="82">
        <v>0.46910000000000002</v>
      </c>
    </row>
    <row r="160" spans="1:4" ht="42.75">
      <c r="A160" s="78" t="s">
        <v>314</v>
      </c>
      <c r="B160" s="76">
        <v>58914</v>
      </c>
      <c r="C160" s="81">
        <v>0.29299999999999998</v>
      </c>
      <c r="D160" s="82">
        <v>0.29299999999999998</v>
      </c>
    </row>
    <row r="161" spans="1:4" ht="71.25">
      <c r="A161" s="78" t="s">
        <v>315</v>
      </c>
      <c r="B161" s="76">
        <v>55813</v>
      </c>
      <c r="C161" s="81">
        <v>0.59009999999999996</v>
      </c>
      <c r="D161" s="82">
        <v>0.59009999999999996</v>
      </c>
    </row>
    <row r="162" spans="1:4">
      <c r="A162" s="78" t="s">
        <v>316</v>
      </c>
      <c r="B162" s="76">
        <v>54410</v>
      </c>
      <c r="C162" s="81">
        <v>1.7975000000000001</v>
      </c>
      <c r="D162" s="82">
        <v>1.7975000000000001</v>
      </c>
    </row>
    <row r="163" spans="1:4" ht="42.75">
      <c r="A163" s="78" t="s">
        <v>317</v>
      </c>
      <c r="B163" s="76">
        <v>57916</v>
      </c>
      <c r="C163" s="81">
        <v>0.35210000000000002</v>
      </c>
      <c r="D163" s="82">
        <v>0.35210000000000002</v>
      </c>
    </row>
    <row r="164" spans="1:4" ht="28.5">
      <c r="A164" s="78" t="s">
        <v>318</v>
      </c>
      <c r="B164" s="76">
        <v>50216</v>
      </c>
      <c r="C164" s="81">
        <v>0.91080000000000005</v>
      </c>
      <c r="D164" s="82">
        <v>0.91080000000000005</v>
      </c>
    </row>
    <row r="165" spans="1:4" ht="28.5">
      <c r="A165" s="78" t="s">
        <v>318</v>
      </c>
      <c r="B165" s="76">
        <v>50530</v>
      </c>
      <c r="C165" s="81">
        <v>0.91080000000000005</v>
      </c>
      <c r="D165" s="82">
        <v>0.91080000000000005</v>
      </c>
    </row>
    <row r="166" spans="1:4" ht="28.5">
      <c r="A166" s="78" t="s">
        <v>319</v>
      </c>
      <c r="B166" s="76">
        <v>55540</v>
      </c>
      <c r="C166" s="81">
        <v>0.92559999999999998</v>
      </c>
      <c r="D166" s="82">
        <v>0.92559999999999998</v>
      </c>
    </row>
    <row r="167" spans="1:4" ht="42.75">
      <c r="A167" s="78" t="s">
        <v>320</v>
      </c>
      <c r="B167" s="76">
        <v>55084</v>
      </c>
      <c r="C167" s="81">
        <v>0.3251</v>
      </c>
      <c r="D167" s="82">
        <v>0.3251</v>
      </c>
    </row>
    <row r="168" spans="1:4" ht="28.5">
      <c r="A168" s="78" t="s">
        <v>321</v>
      </c>
      <c r="B168" s="76">
        <v>50632</v>
      </c>
      <c r="C168" s="81">
        <v>2.3289</v>
      </c>
      <c r="D168" s="82">
        <v>2.3289</v>
      </c>
    </row>
    <row r="169" spans="1:4" ht="42.75">
      <c r="A169" s="78" t="s">
        <v>322</v>
      </c>
      <c r="B169" s="76">
        <v>56298</v>
      </c>
      <c r="C169" s="81">
        <v>0.45290000000000002</v>
      </c>
      <c r="D169" s="82">
        <v>0.45290000000000002</v>
      </c>
    </row>
    <row r="170" spans="1:4" ht="42.75">
      <c r="A170" s="78" t="s">
        <v>323</v>
      </c>
      <c r="B170" s="76">
        <v>10446</v>
      </c>
      <c r="C170" s="81">
        <v>0</v>
      </c>
      <c r="D170" s="82">
        <v>0</v>
      </c>
    </row>
    <row r="171" spans="1:4" ht="28.5">
      <c r="A171" s="78" t="s">
        <v>324</v>
      </c>
      <c r="B171" s="76">
        <v>57122</v>
      </c>
      <c r="C171" s="81">
        <v>0.31530000000000002</v>
      </c>
      <c r="D171" s="82">
        <v>0.31530000000000002</v>
      </c>
    </row>
    <row r="172" spans="1:4" ht="57">
      <c r="A172" s="78" t="s">
        <v>325</v>
      </c>
      <c r="B172" s="76">
        <v>10294</v>
      </c>
      <c r="C172" s="81">
        <v>0.50439999999999996</v>
      </c>
      <c r="D172" s="82">
        <v>0.50439999999999996</v>
      </c>
    </row>
    <row r="173" spans="1:4" ht="57">
      <c r="A173" s="78" t="s">
        <v>325</v>
      </c>
      <c r="B173" s="76">
        <v>55811</v>
      </c>
      <c r="C173" s="81">
        <v>0.50439999999999996</v>
      </c>
      <c r="D173" s="82">
        <v>0.50439999999999996</v>
      </c>
    </row>
    <row r="174" spans="1:4" ht="42.75">
      <c r="A174" s="78" t="s">
        <v>326</v>
      </c>
      <c r="B174" s="76">
        <v>57584</v>
      </c>
      <c r="C174" s="81">
        <v>0.3982</v>
      </c>
      <c r="D174" s="82">
        <v>0.3982</v>
      </c>
    </row>
    <row r="175" spans="1:4" ht="57">
      <c r="A175" s="78" t="s">
        <v>327</v>
      </c>
      <c r="B175" s="76">
        <v>56569</v>
      </c>
      <c r="C175" s="81">
        <v>0.51670000000000005</v>
      </c>
      <c r="D175" s="82">
        <v>0.51670000000000005</v>
      </c>
    </row>
    <row r="176" spans="1:4" ht="28.5">
      <c r="A176" s="78" t="s">
        <v>328</v>
      </c>
      <c r="B176" s="76">
        <v>315</v>
      </c>
      <c r="C176" s="81">
        <v>0.37469999999999998</v>
      </c>
      <c r="D176" s="82">
        <v>0.37469999999999998</v>
      </c>
    </row>
    <row r="177" spans="1:4" ht="28.5">
      <c r="A177" s="78" t="s">
        <v>328</v>
      </c>
      <c r="B177" s="76">
        <v>62115</v>
      </c>
      <c r="C177" s="81">
        <v>0.37469999999999998</v>
      </c>
      <c r="D177" s="82">
        <v>0.37469999999999998</v>
      </c>
    </row>
    <row r="178" spans="1:4" ht="42.75">
      <c r="A178" s="78" t="s">
        <v>329</v>
      </c>
      <c r="B178" s="76">
        <v>58258</v>
      </c>
      <c r="C178" s="81">
        <v>0.27479999999999999</v>
      </c>
      <c r="D178" s="82">
        <v>0.27479999999999999</v>
      </c>
    </row>
    <row r="179" spans="1:4" ht="71.25">
      <c r="A179" s="78" t="s">
        <v>330</v>
      </c>
      <c r="B179" s="76">
        <v>408</v>
      </c>
      <c r="C179" s="81">
        <v>0.38279999999999997</v>
      </c>
      <c r="D179" s="82">
        <v>0.38279999999999997</v>
      </c>
    </row>
    <row r="180" spans="1:4" ht="42.75">
      <c r="A180" s="78" t="s">
        <v>331</v>
      </c>
      <c r="B180" s="76">
        <v>10342</v>
      </c>
      <c r="C180" s="81">
        <v>0.83440000000000003</v>
      </c>
      <c r="D180" s="82">
        <v>0.83440000000000003</v>
      </c>
    </row>
    <row r="181" spans="1:4" ht="28.5">
      <c r="A181" s="78" t="s">
        <v>332</v>
      </c>
      <c r="B181" s="76">
        <v>55541</v>
      </c>
      <c r="C181" s="81">
        <v>0.58120000000000005</v>
      </c>
      <c r="D181" s="82">
        <v>0.58120000000000005</v>
      </c>
    </row>
    <row r="182" spans="1:4" ht="28.5">
      <c r="A182" s="78" t="s">
        <v>333</v>
      </c>
      <c r="B182" s="76">
        <v>6211</v>
      </c>
      <c r="C182" s="81">
        <v>1.1794</v>
      </c>
      <c r="D182" s="82">
        <v>1.1794</v>
      </c>
    </row>
    <row r="183" spans="1:4">
      <c r="A183" s="78" t="s">
        <v>334</v>
      </c>
      <c r="B183" s="76">
        <v>10776</v>
      </c>
      <c r="C183" s="81">
        <v>0.55020000000000002</v>
      </c>
      <c r="D183" s="82">
        <v>0.55020000000000002</v>
      </c>
    </row>
    <row r="184" spans="1:4" ht="28.5">
      <c r="A184" s="78" t="s">
        <v>335</v>
      </c>
      <c r="B184" s="76">
        <v>57585</v>
      </c>
      <c r="C184" s="81">
        <v>0.30270000000000002</v>
      </c>
      <c r="D184" s="82">
        <v>0.30270000000000002</v>
      </c>
    </row>
    <row r="185" spans="1:4" ht="28.5">
      <c r="A185" s="78" t="s">
        <v>336</v>
      </c>
      <c r="B185" s="76">
        <v>350</v>
      </c>
      <c r="C185" s="81">
        <v>0.93420000000000003</v>
      </c>
      <c r="D185" s="82">
        <v>0.93420000000000003</v>
      </c>
    </row>
    <row r="186" spans="1:4" ht="57">
      <c r="A186" s="78" t="s">
        <v>337</v>
      </c>
      <c r="B186" s="76">
        <v>56135</v>
      </c>
      <c r="C186" s="81">
        <v>0.6885</v>
      </c>
      <c r="D186" s="82">
        <v>0.6885</v>
      </c>
    </row>
    <row r="187" spans="1:4" ht="28.5">
      <c r="A187" s="78" t="s">
        <v>338</v>
      </c>
      <c r="B187" s="76">
        <v>55807</v>
      </c>
      <c r="C187" s="81">
        <v>0.54179999999999995</v>
      </c>
      <c r="D187" s="82">
        <v>0.54179999999999995</v>
      </c>
    </row>
    <row r="188" spans="1:4" ht="57">
      <c r="A188" s="78" t="s">
        <v>339</v>
      </c>
      <c r="B188" s="76">
        <v>52109</v>
      </c>
      <c r="C188" s="81">
        <v>1.5417000000000001</v>
      </c>
      <c r="D188" s="82">
        <v>1.5417000000000001</v>
      </c>
    </row>
    <row r="189" spans="1:4" ht="42.75">
      <c r="A189" s="78" t="s">
        <v>340</v>
      </c>
      <c r="B189" s="76">
        <v>50061</v>
      </c>
      <c r="C189" s="81">
        <v>0.44350000000000001</v>
      </c>
      <c r="D189" s="82">
        <v>0.44350000000000001</v>
      </c>
    </row>
    <row r="190" spans="1:4" ht="28.5">
      <c r="A190" s="78" t="s">
        <v>341</v>
      </c>
      <c r="B190" s="76">
        <v>59456</v>
      </c>
      <c r="C190" s="81">
        <v>0.45939999999999998</v>
      </c>
      <c r="D190" s="82">
        <v>0.45939999999999998</v>
      </c>
    </row>
    <row r="191" spans="1:4" ht="28.5">
      <c r="A191" s="78" t="s">
        <v>342</v>
      </c>
      <c r="B191" s="76">
        <v>56232</v>
      </c>
      <c r="C191" s="81">
        <v>0.55389999999999995</v>
      </c>
      <c r="D191" s="82">
        <v>0.55389999999999995</v>
      </c>
    </row>
    <row r="192" spans="1:4" ht="28.5">
      <c r="A192" s="78" t="s">
        <v>343</v>
      </c>
      <c r="B192" s="76">
        <v>55510</v>
      </c>
      <c r="C192" s="81">
        <v>0.59499999999999997</v>
      </c>
      <c r="D192" s="82">
        <v>0.59499999999999997</v>
      </c>
    </row>
    <row r="193" spans="1:4" ht="42.75">
      <c r="A193" s="78" t="s">
        <v>344</v>
      </c>
      <c r="B193" s="76">
        <v>58198</v>
      </c>
      <c r="C193" s="81">
        <v>0.3367</v>
      </c>
      <c r="D193" s="82">
        <v>0.3367</v>
      </c>
    </row>
    <row r="194" spans="1:4" ht="42.75">
      <c r="A194" s="78" t="s">
        <v>345</v>
      </c>
      <c r="B194" s="76">
        <v>50748</v>
      </c>
      <c r="C194" s="81">
        <v>0.53959999999999997</v>
      </c>
      <c r="D194" s="82">
        <v>0.53959999999999997</v>
      </c>
    </row>
    <row r="195" spans="1:4" ht="28.5">
      <c r="A195" s="78" t="s">
        <v>346</v>
      </c>
      <c r="B195" s="76">
        <v>57564</v>
      </c>
      <c r="C195" s="81">
        <v>0.47710000000000002</v>
      </c>
      <c r="D195" s="82">
        <v>0.47710000000000002</v>
      </c>
    </row>
    <row r="196" spans="1:4" ht="57">
      <c r="A196" s="78" t="s">
        <v>347</v>
      </c>
      <c r="B196" s="76">
        <v>56026</v>
      </c>
      <c r="C196" s="81">
        <v>0.4395</v>
      </c>
      <c r="D196" s="82">
        <v>0.4395</v>
      </c>
    </row>
    <row r="197" spans="1:4" ht="42.75">
      <c r="A197" s="78" t="s">
        <v>348</v>
      </c>
      <c r="B197" s="76">
        <v>55518</v>
      </c>
      <c r="C197" s="81">
        <v>0.39350000000000002</v>
      </c>
      <c r="D197" s="82">
        <v>0.39350000000000002</v>
      </c>
    </row>
    <row r="198" spans="1:4" ht="42.75">
      <c r="A198" s="78" t="s">
        <v>349</v>
      </c>
      <c r="B198" s="76">
        <v>55112</v>
      </c>
      <c r="C198" s="81">
        <v>0.40649999999999997</v>
      </c>
      <c r="D198" s="82">
        <v>0.40649999999999997</v>
      </c>
    </row>
    <row r="199" spans="1:4" ht="28.5">
      <c r="A199" s="78" t="s">
        <v>350</v>
      </c>
      <c r="B199" s="76">
        <v>58100</v>
      </c>
      <c r="C199" s="81">
        <v>3.3603000000000001</v>
      </c>
      <c r="D199" s="82">
        <v>3.3603000000000001</v>
      </c>
    </row>
    <row r="200" spans="1:4" ht="42.75">
      <c r="A200" s="78" t="s">
        <v>351</v>
      </c>
      <c r="B200" s="76">
        <v>10496</v>
      </c>
      <c r="C200" s="81">
        <v>0.3291</v>
      </c>
      <c r="D200" s="82">
        <v>0.3291</v>
      </c>
    </row>
    <row r="201" spans="1:4" ht="42.75">
      <c r="A201" s="78" t="s">
        <v>352</v>
      </c>
      <c r="B201" s="76">
        <v>50865</v>
      </c>
      <c r="C201" s="81">
        <v>0.39939999999999998</v>
      </c>
      <c r="D201" s="82">
        <v>0.39939999999999998</v>
      </c>
    </row>
    <row r="202" spans="1:4" ht="28.5">
      <c r="A202" s="78" t="s">
        <v>353</v>
      </c>
      <c r="B202" s="76">
        <v>52147</v>
      </c>
      <c r="C202" s="81">
        <v>0.74619999999999997</v>
      </c>
      <c r="D202" s="82">
        <v>0.74619999999999997</v>
      </c>
    </row>
    <row r="203" spans="1:4">
      <c r="A203" s="78" t="s">
        <v>354</v>
      </c>
      <c r="B203" s="76">
        <v>50003</v>
      </c>
      <c r="C203" s="81">
        <v>0.40899999999999997</v>
      </c>
      <c r="D203" s="82">
        <v>0.40899999999999997</v>
      </c>
    </row>
    <row r="204" spans="1:4" ht="42.75">
      <c r="A204" s="78" t="s">
        <v>355</v>
      </c>
      <c r="B204" s="76">
        <v>59458</v>
      </c>
      <c r="C204" s="81">
        <v>0.38219999999999998</v>
      </c>
      <c r="D204" s="82">
        <v>0.38219999999999998</v>
      </c>
    </row>
    <row r="205" spans="1:4" ht="42.75">
      <c r="A205" s="78" t="s">
        <v>355</v>
      </c>
      <c r="B205" s="76">
        <v>59457</v>
      </c>
      <c r="C205" s="81">
        <v>0.38219999999999998</v>
      </c>
      <c r="D205" s="82">
        <v>0.38219999999999998</v>
      </c>
    </row>
    <row r="206" spans="1:4" ht="42.75">
      <c r="A206" s="78" t="s">
        <v>356</v>
      </c>
      <c r="B206" s="76">
        <v>55625</v>
      </c>
      <c r="C206" s="81">
        <v>0.62980000000000003</v>
      </c>
      <c r="D206" s="82">
        <v>0.62980000000000003</v>
      </c>
    </row>
    <row r="207" spans="1:4" ht="42.75">
      <c r="A207" s="78" t="s">
        <v>357</v>
      </c>
      <c r="B207" s="76">
        <v>55333</v>
      </c>
      <c r="C207" s="81">
        <v>0.38469999999999999</v>
      </c>
      <c r="D207" s="82">
        <v>0.38469999999999999</v>
      </c>
    </row>
    <row r="208" spans="1:4" ht="42.75">
      <c r="A208" s="78" t="s">
        <v>358</v>
      </c>
      <c r="B208" s="76">
        <v>52158</v>
      </c>
      <c r="C208" s="81">
        <v>3.9699999999999999E-2</v>
      </c>
      <c r="D208" s="82">
        <v>0</v>
      </c>
    </row>
    <row r="209" spans="1:4" ht="57">
      <c r="A209" s="78" t="s">
        <v>359</v>
      </c>
      <c r="B209" s="76">
        <v>55963</v>
      </c>
      <c r="C209" s="81">
        <v>0.54820000000000002</v>
      </c>
      <c r="D209" s="82">
        <v>0.54820000000000002</v>
      </c>
    </row>
    <row r="210" spans="1:4" ht="57">
      <c r="A210" s="78" t="s">
        <v>360</v>
      </c>
      <c r="B210" s="76">
        <v>7368</v>
      </c>
      <c r="C210" s="81">
        <v>5.5899999999999998E-2</v>
      </c>
      <c r="D210" s="82">
        <v>0</v>
      </c>
    </row>
    <row r="211" spans="1:4" ht="57">
      <c r="A211" s="78" t="s">
        <v>361</v>
      </c>
      <c r="B211" s="76">
        <v>7369</v>
      </c>
      <c r="C211" s="81">
        <v>0.10539999999999999</v>
      </c>
      <c r="D211" s="82">
        <v>0</v>
      </c>
    </row>
    <row r="212" spans="1:4" ht="57">
      <c r="A212" s="78" t="s">
        <v>362</v>
      </c>
      <c r="B212" s="76">
        <v>56475</v>
      </c>
      <c r="C212" s="81">
        <v>0.5766</v>
      </c>
      <c r="D212" s="82">
        <v>0.5766</v>
      </c>
    </row>
    <row r="213" spans="1:4" ht="57">
      <c r="A213" s="78" t="s">
        <v>363</v>
      </c>
      <c r="B213" s="76">
        <v>56472</v>
      </c>
      <c r="C213" s="81">
        <v>0.77090000000000003</v>
      </c>
      <c r="D213" s="82">
        <v>0.77090000000000003</v>
      </c>
    </row>
    <row r="214" spans="1:4" ht="57">
      <c r="A214" s="78" t="s">
        <v>364</v>
      </c>
      <c r="B214" s="76">
        <v>56474</v>
      </c>
      <c r="C214" s="81">
        <v>0.5444</v>
      </c>
      <c r="D214" s="82">
        <v>0.5444</v>
      </c>
    </row>
    <row r="215" spans="1:4" ht="28.5">
      <c r="A215" s="78" t="s">
        <v>365</v>
      </c>
      <c r="B215" s="76">
        <v>55698</v>
      </c>
      <c r="C215" s="81">
        <v>0.55859999999999999</v>
      </c>
      <c r="D215" s="82">
        <v>0.55859999999999999</v>
      </c>
    </row>
    <row r="216" spans="1:4" ht="42.75">
      <c r="A216" s="78" t="s">
        <v>366</v>
      </c>
      <c r="B216" s="76">
        <v>10156</v>
      </c>
      <c r="C216" s="81">
        <v>0.6996</v>
      </c>
      <c r="D216" s="82">
        <v>0.6996</v>
      </c>
    </row>
    <row r="217" spans="1:4" ht="28.5">
      <c r="A217" s="78" t="s">
        <v>367</v>
      </c>
      <c r="B217" s="76">
        <v>50464</v>
      </c>
      <c r="C217" s="81">
        <v>0.4</v>
      </c>
      <c r="D217" s="82">
        <v>0.4</v>
      </c>
    </row>
    <row r="218" spans="1:4" ht="28.5">
      <c r="A218" s="78" t="s">
        <v>368</v>
      </c>
      <c r="B218" s="76">
        <v>55513</v>
      </c>
      <c r="C218" s="81">
        <v>0.60499999999999998</v>
      </c>
      <c r="D218" s="82">
        <v>0.60499999999999998</v>
      </c>
    </row>
    <row r="219" spans="1:4" ht="42.75">
      <c r="A219" s="78" t="s">
        <v>369</v>
      </c>
      <c r="B219" s="76">
        <v>55512</v>
      </c>
      <c r="C219" s="81">
        <v>0.60829999999999995</v>
      </c>
      <c r="D219" s="82">
        <v>0.60829999999999995</v>
      </c>
    </row>
    <row r="220" spans="1:4" ht="28.5">
      <c r="A220" s="78" t="s">
        <v>370</v>
      </c>
      <c r="B220" s="76">
        <v>55951</v>
      </c>
      <c r="C220" s="81">
        <v>0.5968</v>
      </c>
      <c r="D220" s="82">
        <v>0.5968</v>
      </c>
    </row>
    <row r="221" spans="1:4" ht="42.75">
      <c r="A221" s="78" t="s">
        <v>371</v>
      </c>
      <c r="B221" s="76">
        <v>10874</v>
      </c>
      <c r="C221" s="81">
        <v>0.33400000000000002</v>
      </c>
      <c r="D221" s="82">
        <v>0</v>
      </c>
    </row>
    <row r="222" spans="1:4" ht="42.75">
      <c r="A222" s="78" t="s">
        <v>372</v>
      </c>
      <c r="B222" s="76">
        <v>10873</v>
      </c>
      <c r="C222" s="81">
        <v>0.13669999999999999</v>
      </c>
      <c r="D222" s="82">
        <v>0</v>
      </c>
    </row>
    <row r="223" spans="1:4" ht="57">
      <c r="A223" s="78" t="s">
        <v>373</v>
      </c>
      <c r="B223" s="76">
        <v>6704</v>
      </c>
      <c r="C223" s="81">
        <v>0.83840000000000003</v>
      </c>
      <c r="D223" s="82">
        <v>0.83840000000000003</v>
      </c>
    </row>
    <row r="224" spans="1:4" ht="28.5">
      <c r="A224" s="78" t="s">
        <v>374</v>
      </c>
      <c r="B224" s="76">
        <v>56239</v>
      </c>
      <c r="C224" s="81">
        <v>0.55730000000000002</v>
      </c>
      <c r="D224" s="82">
        <v>0.55730000000000002</v>
      </c>
    </row>
    <row r="225" spans="1:4" ht="28.5">
      <c r="A225" s="78" t="s">
        <v>375</v>
      </c>
      <c r="B225" s="76">
        <v>56803</v>
      </c>
      <c r="C225" s="81">
        <v>0.49380000000000002</v>
      </c>
      <c r="D225" s="82">
        <v>0.49380000000000002</v>
      </c>
    </row>
    <row r="226" spans="1:4" ht="28.5">
      <c r="A226" s="78" t="s">
        <v>376</v>
      </c>
      <c r="B226" s="76">
        <v>56476</v>
      </c>
      <c r="C226" s="81">
        <v>0.3911</v>
      </c>
      <c r="D226" s="82">
        <v>0.3911</v>
      </c>
    </row>
    <row r="227" spans="1:4" ht="28.5">
      <c r="A227" s="78" t="s">
        <v>377</v>
      </c>
      <c r="B227" s="76">
        <v>56639</v>
      </c>
      <c r="C227" s="81">
        <v>0.62649999999999995</v>
      </c>
      <c r="D227" s="82">
        <v>0.62649999999999995</v>
      </c>
    </row>
    <row r="228" spans="1:4" ht="42.75">
      <c r="A228" s="78" t="s">
        <v>378</v>
      </c>
      <c r="B228" s="76">
        <v>55345</v>
      </c>
      <c r="C228" s="81">
        <v>0.38169999999999998</v>
      </c>
      <c r="D228" s="82">
        <v>0.38169999999999998</v>
      </c>
    </row>
    <row r="229" spans="1:4" ht="28.5">
      <c r="A229" s="78" t="s">
        <v>379</v>
      </c>
      <c r="B229" s="76">
        <v>56532</v>
      </c>
      <c r="C229" s="81">
        <v>0.39860000000000001</v>
      </c>
      <c r="D229" s="82">
        <v>0.39860000000000001</v>
      </c>
    </row>
    <row r="230" spans="1:4" ht="28.5">
      <c r="A230" s="78" t="s">
        <v>380</v>
      </c>
      <c r="B230" s="76">
        <v>57027</v>
      </c>
      <c r="C230" s="81">
        <v>0.56000000000000005</v>
      </c>
      <c r="D230" s="82">
        <v>0.56000000000000005</v>
      </c>
    </row>
    <row r="231" spans="1:4" ht="28.5">
      <c r="A231" s="78" t="s">
        <v>381</v>
      </c>
      <c r="B231" s="76">
        <v>57977</v>
      </c>
      <c r="C231" s="81">
        <v>0.3543</v>
      </c>
      <c r="D231" s="82">
        <v>0.3543</v>
      </c>
    </row>
    <row r="232" spans="1:4" ht="42.75">
      <c r="A232" s="78" t="s">
        <v>382</v>
      </c>
      <c r="B232" s="76">
        <v>52086</v>
      </c>
      <c r="C232" s="81">
        <v>0.77470000000000006</v>
      </c>
      <c r="D232" s="82">
        <v>0.77470000000000006</v>
      </c>
    </row>
    <row r="233" spans="1:4" ht="42.75">
      <c r="A233" s="78" t="s">
        <v>382</v>
      </c>
      <c r="B233" s="76">
        <v>52082</v>
      </c>
      <c r="C233" s="81">
        <v>0.77470000000000006</v>
      </c>
      <c r="D233" s="82">
        <v>0.77470000000000006</v>
      </c>
    </row>
    <row r="234" spans="1:4" ht="42.75">
      <c r="A234" s="78" t="s">
        <v>382</v>
      </c>
      <c r="B234" s="76">
        <v>52076</v>
      </c>
      <c r="C234" s="81">
        <v>0.77470000000000006</v>
      </c>
      <c r="D234" s="82">
        <v>0.77470000000000006</v>
      </c>
    </row>
    <row r="235" spans="1:4" ht="42.75">
      <c r="A235" s="78" t="s">
        <v>382</v>
      </c>
      <c r="B235" s="76">
        <v>52107</v>
      </c>
      <c r="C235" s="81">
        <v>0.77470000000000006</v>
      </c>
      <c r="D235" s="82">
        <v>0.77470000000000006</v>
      </c>
    </row>
    <row r="236" spans="1:4" ht="42.75">
      <c r="A236" s="78" t="s">
        <v>382</v>
      </c>
      <c r="B236" s="76">
        <v>50751</v>
      </c>
      <c r="C236" s="81">
        <v>0.77470000000000006</v>
      </c>
      <c r="D236" s="82">
        <v>0.77470000000000006</v>
      </c>
    </row>
    <row r="237" spans="1:4" ht="42.75">
      <c r="A237" s="78" t="s">
        <v>382</v>
      </c>
      <c r="B237" s="76">
        <v>52081</v>
      </c>
      <c r="C237" s="81">
        <v>0.77470000000000006</v>
      </c>
      <c r="D237" s="82">
        <v>0.77470000000000006</v>
      </c>
    </row>
    <row r="238" spans="1:4" ht="42.75">
      <c r="A238" s="78" t="s">
        <v>382</v>
      </c>
      <c r="B238" s="76">
        <v>52085</v>
      </c>
      <c r="C238" s="81">
        <v>0.77470000000000006</v>
      </c>
      <c r="D238" s="82">
        <v>0.77470000000000006</v>
      </c>
    </row>
    <row r="239" spans="1:4" ht="42.75">
      <c r="A239" s="78" t="s">
        <v>382</v>
      </c>
      <c r="B239" s="76">
        <v>52104</v>
      </c>
      <c r="C239" s="81">
        <v>0.77470000000000006</v>
      </c>
      <c r="D239" s="82">
        <v>0.77470000000000006</v>
      </c>
    </row>
    <row r="240" spans="1:4" ht="57">
      <c r="A240" s="78" t="s">
        <v>383</v>
      </c>
      <c r="B240" s="76">
        <v>55400</v>
      </c>
      <c r="C240" s="81">
        <v>0.81520000000000004</v>
      </c>
      <c r="D240" s="82">
        <v>0.81520000000000004</v>
      </c>
    </row>
    <row r="241" spans="1:4" ht="28.5">
      <c r="A241" s="78" t="s">
        <v>384</v>
      </c>
      <c r="B241" s="76">
        <v>55184</v>
      </c>
      <c r="C241" s="81">
        <v>3.2456999999999998</v>
      </c>
      <c r="D241" s="82">
        <v>3.2456999999999998</v>
      </c>
    </row>
    <row r="242" spans="1:4" ht="85.5">
      <c r="A242" s="78" t="s">
        <v>385</v>
      </c>
      <c r="B242" s="76">
        <v>50750</v>
      </c>
      <c r="C242" s="81">
        <v>2.6695000000000002</v>
      </c>
      <c r="D242" s="82">
        <v>2.6695000000000002</v>
      </c>
    </row>
    <row r="243" spans="1:4" ht="85.5">
      <c r="A243" s="78" t="s">
        <v>386</v>
      </c>
      <c r="B243" s="76">
        <v>50752</v>
      </c>
      <c r="C243" s="81">
        <v>2.6695000000000002</v>
      </c>
      <c r="D243" s="82">
        <v>2.6695000000000002</v>
      </c>
    </row>
    <row r="244" spans="1:4" ht="85.5">
      <c r="A244" s="78" t="s">
        <v>387</v>
      </c>
      <c r="B244" s="76">
        <v>52077</v>
      </c>
      <c r="C244" s="81">
        <v>2.6695000000000002</v>
      </c>
      <c r="D244" s="82">
        <v>2.6695000000000002</v>
      </c>
    </row>
    <row r="245" spans="1:4" ht="42.75">
      <c r="A245" s="78" t="s">
        <v>388</v>
      </c>
      <c r="B245" s="76">
        <v>50963</v>
      </c>
      <c r="C245" s="81">
        <v>0.61860000000000004</v>
      </c>
      <c r="D245" s="82">
        <v>0.61860000000000004</v>
      </c>
    </row>
    <row r="246" spans="1:4" ht="28.5">
      <c r="A246" s="78" t="s">
        <v>389</v>
      </c>
      <c r="B246" s="76">
        <v>56914</v>
      </c>
      <c r="C246" s="81">
        <v>0.56669999999999998</v>
      </c>
      <c r="D246" s="82">
        <v>0.56669999999999998</v>
      </c>
    </row>
    <row r="247" spans="1:4" ht="71.25">
      <c r="A247" s="78" t="s">
        <v>390</v>
      </c>
      <c r="B247" s="76">
        <v>56051</v>
      </c>
      <c r="C247" s="81">
        <v>0.65820000000000001</v>
      </c>
      <c r="D247" s="82">
        <v>0.65820000000000001</v>
      </c>
    </row>
    <row r="248" spans="1:4" ht="71.25">
      <c r="A248" s="78" t="s">
        <v>391</v>
      </c>
      <c r="B248" s="76">
        <v>6013</v>
      </c>
      <c r="C248" s="81">
        <v>0.40920000000000001</v>
      </c>
      <c r="D248" s="82">
        <v>0.40920000000000001</v>
      </c>
    </row>
    <row r="249" spans="1:4" ht="71.25">
      <c r="A249" s="78" t="s">
        <v>391</v>
      </c>
      <c r="B249" s="76">
        <v>56077</v>
      </c>
      <c r="C249" s="81">
        <v>0.40920000000000001</v>
      </c>
      <c r="D249" s="82">
        <v>0.40920000000000001</v>
      </c>
    </row>
    <row r="250" spans="1:4" ht="71.25">
      <c r="A250" s="78" t="s">
        <v>391</v>
      </c>
      <c r="B250" s="76">
        <v>56046</v>
      </c>
      <c r="C250" s="81">
        <v>0.40920000000000001</v>
      </c>
      <c r="D250" s="82">
        <v>0.40920000000000001</v>
      </c>
    </row>
    <row r="251" spans="1:4" ht="71.25">
      <c r="A251" s="78" t="s">
        <v>391</v>
      </c>
      <c r="B251" s="76">
        <v>7987</v>
      </c>
      <c r="C251" s="81">
        <v>0.40920000000000001</v>
      </c>
      <c r="D251" s="82">
        <v>0.40920000000000001</v>
      </c>
    </row>
    <row r="252" spans="1:4" ht="28.5">
      <c r="A252" s="78" t="s">
        <v>392</v>
      </c>
      <c r="B252" s="76">
        <v>55538</v>
      </c>
      <c r="C252" s="81">
        <v>0.46439999999999998</v>
      </c>
      <c r="D252" s="82">
        <v>0.46439999999999998</v>
      </c>
    </row>
    <row r="253" spans="1:4" ht="28.5">
      <c r="A253" s="78" t="s">
        <v>393</v>
      </c>
      <c r="B253" s="76">
        <v>57001</v>
      </c>
      <c r="C253" s="81">
        <v>0.59160000000000001</v>
      </c>
      <c r="D253" s="82">
        <v>0.59160000000000001</v>
      </c>
    </row>
    <row r="254" spans="1:4" ht="42.75">
      <c r="A254" s="78" t="s">
        <v>394</v>
      </c>
      <c r="B254" s="76">
        <v>54447</v>
      </c>
      <c r="C254" s="81">
        <v>4.1628999999999996</v>
      </c>
      <c r="D254" s="82">
        <v>4.1628999999999996</v>
      </c>
    </row>
    <row r="255" spans="1:4" ht="42.75">
      <c r="A255" s="78" t="s">
        <v>394</v>
      </c>
      <c r="B255" s="76">
        <v>54449</v>
      </c>
      <c r="C255" s="81">
        <v>4.1628999999999996</v>
      </c>
      <c r="D255" s="82">
        <v>4.1628999999999996</v>
      </c>
    </row>
    <row r="256" spans="1:4" ht="42.75">
      <c r="A256" s="78" t="s">
        <v>395</v>
      </c>
      <c r="B256" s="76">
        <v>57702</v>
      </c>
      <c r="C256" s="81">
        <v>1.1732</v>
      </c>
      <c r="D256" s="82">
        <v>1.1732</v>
      </c>
    </row>
    <row r="257" spans="1:4" ht="42.75">
      <c r="A257" s="78" t="s">
        <v>396</v>
      </c>
      <c r="B257" s="76">
        <v>50622</v>
      </c>
      <c r="C257" s="81">
        <v>2.2986</v>
      </c>
      <c r="D257" s="82">
        <v>2.2986</v>
      </c>
    </row>
    <row r="258" spans="1:4" ht="42.75">
      <c r="A258" s="78" t="s">
        <v>396</v>
      </c>
      <c r="B258" s="76">
        <v>50170</v>
      </c>
      <c r="C258" s="81">
        <v>2.2986</v>
      </c>
      <c r="D258" s="82">
        <v>2.2986</v>
      </c>
    </row>
    <row r="259" spans="1:4" ht="42.75">
      <c r="A259" s="78" t="s">
        <v>396</v>
      </c>
      <c r="B259" s="76">
        <v>62176</v>
      </c>
      <c r="C259" s="81">
        <v>2.2986</v>
      </c>
      <c r="D259" s="82">
        <v>2.2986</v>
      </c>
    </row>
    <row r="260" spans="1:4" ht="28.5">
      <c r="A260" s="78" t="s">
        <v>397</v>
      </c>
      <c r="B260" s="76">
        <v>57483</v>
      </c>
      <c r="C260" s="81">
        <v>0.5474</v>
      </c>
      <c r="D260" s="82">
        <v>0.5474</v>
      </c>
    </row>
    <row r="261" spans="1:4" ht="28.5">
      <c r="A261" s="78" t="s">
        <v>398</v>
      </c>
      <c r="B261" s="76">
        <v>57978</v>
      </c>
      <c r="C261" s="81">
        <v>0.39150000000000001</v>
      </c>
      <c r="D261" s="82">
        <v>0.39150000000000001</v>
      </c>
    </row>
    <row r="262" spans="1:4" ht="28.5">
      <c r="A262" s="78" t="s">
        <v>398</v>
      </c>
      <c r="B262" s="76">
        <v>7449</v>
      </c>
      <c r="C262" s="81">
        <v>0.39150000000000001</v>
      </c>
      <c r="D262" s="82">
        <v>0.39150000000000001</v>
      </c>
    </row>
    <row r="263" spans="1:4" ht="28.5">
      <c r="A263" s="78" t="s">
        <v>399</v>
      </c>
      <c r="B263" s="76">
        <v>57267</v>
      </c>
      <c r="C263" s="81">
        <v>0.57689999999999997</v>
      </c>
      <c r="D263" s="82">
        <v>0.57689999999999997</v>
      </c>
    </row>
    <row r="264" spans="1:4" ht="28.5">
      <c r="A264" s="78" t="s">
        <v>400</v>
      </c>
      <c r="B264" s="76">
        <v>57515</v>
      </c>
      <c r="C264" s="81">
        <v>0.49630000000000002</v>
      </c>
      <c r="D264" s="82">
        <v>0.49630000000000002</v>
      </c>
    </row>
    <row r="265" spans="1:4" ht="28.5">
      <c r="A265" s="78" t="s">
        <v>401</v>
      </c>
      <c r="B265" s="76">
        <v>57482</v>
      </c>
      <c r="C265" s="81">
        <v>0.50890000000000002</v>
      </c>
      <c r="D265" s="82">
        <v>0.50890000000000002</v>
      </c>
    </row>
    <row r="266" spans="1:4" ht="57">
      <c r="A266" s="78" t="s">
        <v>402</v>
      </c>
      <c r="B266" s="76">
        <v>56471</v>
      </c>
      <c r="C266" s="81">
        <v>0.54430000000000001</v>
      </c>
      <c r="D266" s="82">
        <v>0.54430000000000001</v>
      </c>
    </row>
    <row r="267" spans="1:4" ht="42.75">
      <c r="A267" s="78" t="s">
        <v>403</v>
      </c>
      <c r="B267" s="76">
        <v>57475</v>
      </c>
      <c r="C267" s="81">
        <v>5.0500000000000003E-2</v>
      </c>
      <c r="D267" s="82">
        <v>0</v>
      </c>
    </row>
    <row r="268" spans="1:4" ht="42.75">
      <c r="A268" s="78" t="s">
        <v>404</v>
      </c>
      <c r="B268" s="76">
        <v>58169</v>
      </c>
      <c r="C268" s="81">
        <v>0.25330000000000003</v>
      </c>
      <c r="D268" s="82">
        <v>0.25330000000000003</v>
      </c>
    </row>
    <row r="269" spans="1:4" ht="28.5">
      <c r="A269" s="78" t="s">
        <v>405</v>
      </c>
      <c r="B269" s="76">
        <v>10042</v>
      </c>
      <c r="C269" s="81">
        <v>841.80539999999996</v>
      </c>
      <c r="D269" s="82">
        <v>841.80539999999996</v>
      </c>
    </row>
    <row r="270" spans="1:4" ht="28.5">
      <c r="A270" s="78" t="s">
        <v>406</v>
      </c>
      <c r="B270" s="76">
        <v>54800</v>
      </c>
      <c r="C270" s="81">
        <v>0.21540000000000001</v>
      </c>
      <c r="D270" s="82">
        <v>0.21540000000000001</v>
      </c>
    </row>
    <row r="271" spans="1:4" ht="28.5">
      <c r="A271" s="78" t="s">
        <v>407</v>
      </c>
      <c r="B271" s="76">
        <v>58432</v>
      </c>
      <c r="C271" s="81">
        <v>0.63229999999999997</v>
      </c>
      <c r="D271" s="82">
        <v>0.63229999999999997</v>
      </c>
    </row>
    <row r="272" spans="1:4" ht="42.75">
      <c r="A272" s="78" t="s">
        <v>408</v>
      </c>
      <c r="B272" s="76">
        <v>58223</v>
      </c>
      <c r="C272" s="81">
        <v>0.43120000000000003</v>
      </c>
      <c r="D272" s="82">
        <v>0.43120000000000003</v>
      </c>
    </row>
    <row r="273" spans="1:4" ht="71.25">
      <c r="A273" s="78" t="s">
        <v>409</v>
      </c>
      <c r="B273" s="76">
        <v>10884</v>
      </c>
      <c r="C273" s="81">
        <v>226.83770000000001</v>
      </c>
      <c r="D273" s="82">
        <v>226.83770000000001</v>
      </c>
    </row>
    <row r="274" spans="1:4" ht="42.75">
      <c r="A274" s="78" t="s">
        <v>410</v>
      </c>
      <c r="B274" s="76">
        <v>10175</v>
      </c>
      <c r="C274" s="81">
        <v>0.49149999999999999</v>
      </c>
      <c r="D274" s="82">
        <v>0.49149999999999999</v>
      </c>
    </row>
    <row r="275" spans="1:4" ht="42.75">
      <c r="A275" s="78" t="s">
        <v>411</v>
      </c>
      <c r="B275" s="76">
        <v>56467</v>
      </c>
      <c r="C275" s="81">
        <v>0.3926</v>
      </c>
      <c r="D275" s="82">
        <v>0.3926</v>
      </c>
    </row>
    <row r="276" spans="1:4" ht="57">
      <c r="A276" s="78" t="s">
        <v>412</v>
      </c>
      <c r="B276" s="76">
        <v>57074</v>
      </c>
      <c r="C276" s="81">
        <v>9.5200000000000007E-2</v>
      </c>
      <c r="D276" s="82">
        <v>9.5200000000000007E-2</v>
      </c>
    </row>
    <row r="277" spans="1:4" ht="57">
      <c r="A277" s="78" t="s">
        <v>412</v>
      </c>
      <c r="B277" s="76">
        <v>57073</v>
      </c>
      <c r="C277" s="81">
        <v>9.5200000000000007E-2</v>
      </c>
      <c r="D277" s="82">
        <v>9.5200000000000007E-2</v>
      </c>
    </row>
    <row r="278" spans="1:4" ht="57">
      <c r="A278" s="78" t="s">
        <v>412</v>
      </c>
      <c r="B278" s="76">
        <v>57075</v>
      </c>
      <c r="C278" s="81">
        <v>9.5200000000000007E-2</v>
      </c>
      <c r="D278" s="82">
        <v>9.5200000000000007E-2</v>
      </c>
    </row>
    <row r="279" spans="1:4" ht="28.5">
      <c r="A279" s="78" t="s">
        <v>413</v>
      </c>
      <c r="B279" s="76">
        <v>58122</v>
      </c>
      <c r="C279" s="81">
        <v>0.63080000000000003</v>
      </c>
      <c r="D279" s="82">
        <v>0.63080000000000003</v>
      </c>
    </row>
    <row r="280" spans="1:4" ht="57">
      <c r="A280" s="78" t="s">
        <v>414</v>
      </c>
      <c r="B280" s="76">
        <v>56832</v>
      </c>
      <c r="C280" s="81">
        <v>1.2989999999999999</v>
      </c>
      <c r="D280" s="82">
        <v>0</v>
      </c>
    </row>
    <row r="281" spans="1:4" ht="42.75">
      <c r="A281" s="78" t="s">
        <v>415</v>
      </c>
      <c r="B281" s="76">
        <v>50849</v>
      </c>
      <c r="C281" s="81">
        <v>0.33829999999999999</v>
      </c>
      <c r="D281" s="82">
        <v>0.33829999999999999</v>
      </c>
    </row>
    <row r="282" spans="1:4" ht="28.5">
      <c r="A282" s="78" t="s">
        <v>416</v>
      </c>
      <c r="B282" s="76">
        <v>10115</v>
      </c>
      <c r="C282" s="81">
        <v>0.3518</v>
      </c>
      <c r="D282" s="82">
        <v>0.3518</v>
      </c>
    </row>
    <row r="283" spans="1:4" ht="28.5">
      <c r="A283" s="78" t="s">
        <v>417</v>
      </c>
      <c r="B283" s="76">
        <v>57555</v>
      </c>
      <c r="C283" s="81">
        <v>0.52680000000000005</v>
      </c>
      <c r="D283" s="82">
        <v>0.52680000000000005</v>
      </c>
    </row>
    <row r="284" spans="1:4" ht="28.5">
      <c r="A284" s="78" t="s">
        <v>418</v>
      </c>
      <c r="B284" s="76">
        <v>61754</v>
      </c>
      <c r="C284" s="81">
        <v>0.77949999999999997</v>
      </c>
      <c r="D284" s="82">
        <v>0.77949999999999997</v>
      </c>
    </row>
    <row r="285" spans="1:4" ht="28.5">
      <c r="A285" s="78" t="s">
        <v>419</v>
      </c>
      <c r="B285" s="76">
        <v>59002</v>
      </c>
      <c r="C285" s="81">
        <v>0.53439999999999999</v>
      </c>
      <c r="D285" s="82">
        <v>0.53439999999999999</v>
      </c>
    </row>
    <row r="286" spans="1:4" ht="42.75">
      <c r="A286" s="78" t="s">
        <v>420</v>
      </c>
      <c r="B286" s="76">
        <v>62702</v>
      </c>
      <c r="C286" s="81">
        <v>0.36830000000000002</v>
      </c>
      <c r="D286" s="82">
        <v>0.36830000000000002</v>
      </c>
    </row>
    <row r="287" spans="1:4" ht="42.75">
      <c r="A287" s="78" t="s">
        <v>420</v>
      </c>
      <c r="B287" s="76">
        <v>63704</v>
      </c>
      <c r="C287" s="81">
        <v>0.36830000000000002</v>
      </c>
      <c r="D287" s="82">
        <v>0.36830000000000002</v>
      </c>
    </row>
    <row r="288" spans="1:4" ht="42.75">
      <c r="A288" s="78" t="s">
        <v>420</v>
      </c>
      <c r="B288" s="76">
        <v>63708</v>
      </c>
      <c r="C288" s="81">
        <v>0.36830000000000002</v>
      </c>
      <c r="D288" s="82">
        <v>0.36830000000000002</v>
      </c>
    </row>
    <row r="289" spans="1:4" ht="42.75">
      <c r="A289" s="78" t="s">
        <v>420</v>
      </c>
      <c r="B289" s="76">
        <v>60223</v>
      </c>
      <c r="C289" s="81">
        <v>0.36830000000000002</v>
      </c>
      <c r="D289" s="82">
        <v>0.36830000000000002</v>
      </c>
    </row>
    <row r="290" spans="1:4" ht="42.75">
      <c r="A290" s="78" t="s">
        <v>421</v>
      </c>
      <c r="B290" s="76">
        <v>62703</v>
      </c>
      <c r="C290" s="81">
        <v>0.36870000000000003</v>
      </c>
      <c r="D290" s="82">
        <v>0.36870000000000003</v>
      </c>
    </row>
    <row r="291" spans="1:4" ht="42.75">
      <c r="A291" s="78" t="s">
        <v>422</v>
      </c>
      <c r="B291" s="76">
        <v>62671</v>
      </c>
      <c r="C291" s="81">
        <v>0.37880000000000003</v>
      </c>
      <c r="D291" s="82">
        <v>0.37880000000000003</v>
      </c>
    </row>
    <row r="292" spans="1:4" ht="42.75">
      <c r="A292" s="78" t="s">
        <v>423</v>
      </c>
      <c r="B292" s="76">
        <v>63705</v>
      </c>
      <c r="C292" s="81">
        <v>0.36969999999999997</v>
      </c>
      <c r="D292" s="82">
        <v>0.36969999999999997</v>
      </c>
    </row>
    <row r="293" spans="1:4" ht="57">
      <c r="A293" s="78" t="s">
        <v>424</v>
      </c>
      <c r="B293" s="76">
        <v>65199</v>
      </c>
      <c r="C293" s="81">
        <v>0.38529999999999998</v>
      </c>
      <c r="D293" s="82">
        <v>0.38529999999999998</v>
      </c>
    </row>
    <row r="294" spans="1:4" ht="57">
      <c r="A294" s="78" t="s">
        <v>425</v>
      </c>
      <c r="B294" s="76">
        <v>62701</v>
      </c>
      <c r="C294" s="81">
        <v>0.37990000000000002</v>
      </c>
      <c r="D294" s="82">
        <v>0.37990000000000002</v>
      </c>
    </row>
    <row r="295" spans="1:4" ht="28.5">
      <c r="A295" s="78" t="s">
        <v>426</v>
      </c>
      <c r="B295" s="76">
        <v>59557</v>
      </c>
      <c r="C295" s="81">
        <v>0.39400000000000002</v>
      </c>
      <c r="D295" s="82">
        <v>0.39400000000000002</v>
      </c>
    </row>
    <row r="296" spans="1:4" ht="42.75">
      <c r="A296" s="78" t="s">
        <v>427</v>
      </c>
      <c r="B296" s="76">
        <v>60224</v>
      </c>
      <c r="C296" s="81">
        <v>0.4587</v>
      </c>
      <c r="D296" s="82">
        <v>0.4587</v>
      </c>
    </row>
    <row r="297" spans="1:4" ht="42.75">
      <c r="A297" s="78" t="s">
        <v>427</v>
      </c>
      <c r="B297" s="76">
        <v>62697</v>
      </c>
      <c r="C297" s="81">
        <v>0.4587</v>
      </c>
      <c r="D297" s="82">
        <v>0.4587</v>
      </c>
    </row>
    <row r="298" spans="1:4" ht="28.5">
      <c r="A298" s="78" t="s">
        <v>428</v>
      </c>
      <c r="B298" s="76">
        <v>60698</v>
      </c>
      <c r="C298" s="81">
        <v>0.59419999999999995</v>
      </c>
      <c r="D298" s="82">
        <v>0.59419999999999995</v>
      </c>
    </row>
    <row r="299" spans="1:4" ht="28.5">
      <c r="A299" s="78" t="s">
        <v>429</v>
      </c>
      <c r="B299" s="76">
        <v>63603</v>
      </c>
      <c r="C299" s="81">
        <v>0.37119999999999997</v>
      </c>
      <c r="D299" s="82">
        <v>0.37119999999999997</v>
      </c>
    </row>
    <row r="300" spans="1:4" ht="42.75">
      <c r="A300" s="78" t="s">
        <v>430</v>
      </c>
      <c r="B300" s="76">
        <v>60844</v>
      </c>
      <c r="C300" s="81">
        <v>0.3679</v>
      </c>
      <c r="D300" s="82">
        <v>0.3679</v>
      </c>
    </row>
    <row r="301" spans="1:4" ht="42.75">
      <c r="A301" s="78" t="s">
        <v>431</v>
      </c>
      <c r="B301" s="76">
        <v>66146</v>
      </c>
      <c r="C301" s="81">
        <v>0.36930000000000002</v>
      </c>
      <c r="D301" s="82">
        <v>0.36930000000000002</v>
      </c>
    </row>
    <row r="302" spans="1:4" ht="28.5">
      <c r="A302" s="78" t="s">
        <v>432</v>
      </c>
      <c r="B302" s="76">
        <v>50637</v>
      </c>
      <c r="C302" s="81">
        <v>0.43009999999999998</v>
      </c>
      <c r="D302" s="82">
        <v>3.61E-2</v>
      </c>
    </row>
    <row r="303" spans="1:4" ht="28.5">
      <c r="A303" s="78" t="s">
        <v>433</v>
      </c>
      <c r="B303" s="76">
        <v>10300</v>
      </c>
      <c r="C303" s="81">
        <v>1.6595</v>
      </c>
      <c r="D303" s="82">
        <v>4.4400000000000002E-2</v>
      </c>
    </row>
    <row r="304" spans="1:4" ht="28.5">
      <c r="A304" s="78" t="s">
        <v>434</v>
      </c>
      <c r="B304" s="76">
        <v>550</v>
      </c>
      <c r="C304" s="81">
        <v>1.3847</v>
      </c>
      <c r="D304" s="82">
        <v>7.7499999999999999E-2</v>
      </c>
    </row>
    <row r="305" spans="1:4" ht="42.75">
      <c r="A305" s="78" t="s">
        <v>435</v>
      </c>
      <c r="B305" s="76">
        <v>54562</v>
      </c>
      <c r="C305" s="81">
        <v>0.51400000000000001</v>
      </c>
      <c r="D305" s="82">
        <v>6.5100000000000005E-2</v>
      </c>
    </row>
    <row r="306" spans="1:4" ht="28.5">
      <c r="A306" s="78" t="s">
        <v>436</v>
      </c>
      <c r="B306" s="76">
        <v>58352</v>
      </c>
      <c r="C306" s="81">
        <v>5.0473999999999997</v>
      </c>
      <c r="D306" s="82">
        <v>0.11459999999999999</v>
      </c>
    </row>
    <row r="307" spans="1:4" ht="42.75">
      <c r="A307" s="78" t="s">
        <v>437</v>
      </c>
      <c r="B307" s="76">
        <v>57457</v>
      </c>
      <c r="C307" s="81">
        <v>1.0386</v>
      </c>
      <c r="D307" s="82">
        <v>2.2200000000000001E-2</v>
      </c>
    </row>
    <row r="308" spans="1:4" ht="42.75">
      <c r="A308" s="78" t="s">
        <v>438</v>
      </c>
      <c r="B308" s="76">
        <v>56853</v>
      </c>
      <c r="C308" s="81">
        <v>1.2561</v>
      </c>
      <c r="D308" s="82">
        <v>3.2000000000000002E-3</v>
      </c>
    </row>
    <row r="309" spans="1:4" ht="28.5">
      <c r="A309" s="78" t="s">
        <v>439</v>
      </c>
      <c r="B309" s="76">
        <v>67436</v>
      </c>
      <c r="C309" s="81">
        <v>0.59030000000000005</v>
      </c>
      <c r="D309" s="82">
        <v>3.0000000000000001E-3</v>
      </c>
    </row>
    <row r="310" spans="1:4" ht="57">
      <c r="A310" s="78" t="s">
        <v>440</v>
      </c>
      <c r="B310" s="76">
        <v>57099</v>
      </c>
      <c r="C310" s="81">
        <v>1.1507000000000001</v>
      </c>
      <c r="D310" s="82">
        <v>3.95E-2</v>
      </c>
    </row>
    <row r="311" spans="1:4" ht="28.5">
      <c r="A311" s="78" t="s">
        <v>441</v>
      </c>
      <c r="B311" s="76">
        <v>55210</v>
      </c>
      <c r="C311" s="81">
        <v>0.40129999999999999</v>
      </c>
      <c r="D311" s="82">
        <v>0.40129999999999999</v>
      </c>
    </row>
    <row r="312" spans="1:4" ht="28.5">
      <c r="A312" s="78" t="s">
        <v>442</v>
      </c>
      <c r="B312" s="76">
        <v>57373</v>
      </c>
      <c r="C312" s="81">
        <v>0</v>
      </c>
      <c r="D312" s="82">
        <v>0</v>
      </c>
    </row>
    <row r="313" spans="1:4" ht="28.5">
      <c r="A313" s="78" t="s">
        <v>443</v>
      </c>
      <c r="B313" s="76">
        <v>141</v>
      </c>
      <c r="C313" s="81">
        <v>0.64270000000000005</v>
      </c>
      <c r="D313" s="82">
        <v>0.64270000000000005</v>
      </c>
    </row>
    <row r="314" spans="1:4" ht="28.5">
      <c r="A314" s="78" t="s">
        <v>444</v>
      </c>
      <c r="B314" s="76">
        <v>851</v>
      </c>
      <c r="C314" s="81">
        <v>0</v>
      </c>
      <c r="D314" s="82">
        <v>0</v>
      </c>
    </row>
    <row r="315" spans="1:4" ht="28.5">
      <c r="A315" s="78" t="s">
        <v>445</v>
      </c>
      <c r="B315" s="76">
        <v>60011</v>
      </c>
      <c r="C315" s="81">
        <v>0</v>
      </c>
      <c r="D315" s="82">
        <v>0</v>
      </c>
    </row>
    <row r="316" spans="1:4" ht="28.5">
      <c r="A316" s="78" t="s">
        <v>446</v>
      </c>
      <c r="B316" s="76">
        <v>60012</v>
      </c>
      <c r="C316" s="81">
        <v>0</v>
      </c>
      <c r="D316" s="82">
        <v>0</v>
      </c>
    </row>
    <row r="317" spans="1:4" ht="28.5">
      <c r="A317" s="78" t="s">
        <v>447</v>
      </c>
      <c r="B317" s="76">
        <v>6395</v>
      </c>
      <c r="C317" s="81">
        <v>0</v>
      </c>
      <c r="D317" s="82">
        <v>0</v>
      </c>
    </row>
    <row r="318" spans="1:4">
      <c r="A318" s="78" t="s">
        <v>448</v>
      </c>
      <c r="B318" s="76">
        <v>67193</v>
      </c>
      <c r="C318" s="81">
        <v>0</v>
      </c>
      <c r="D318" s="82">
        <v>0</v>
      </c>
    </row>
    <row r="319" spans="1:4" ht="28.5">
      <c r="A319" s="78" t="s">
        <v>449</v>
      </c>
      <c r="B319" s="76">
        <v>160</v>
      </c>
      <c r="C319" s="81">
        <v>0.73550000000000004</v>
      </c>
      <c r="D319" s="82">
        <v>0.73550000000000004</v>
      </c>
    </row>
    <row r="320" spans="1:4">
      <c r="A320" s="78" t="s">
        <v>450</v>
      </c>
      <c r="B320" s="76">
        <v>60964</v>
      </c>
      <c r="C320" s="81">
        <v>0</v>
      </c>
      <c r="D320" s="82">
        <v>0</v>
      </c>
    </row>
    <row r="321" spans="1:4" ht="28.5">
      <c r="A321" s="78" t="s">
        <v>451</v>
      </c>
      <c r="B321" s="76">
        <v>55514</v>
      </c>
      <c r="C321" s="81">
        <v>0.37630000000000002</v>
      </c>
      <c r="D321" s="82">
        <v>0.37630000000000002</v>
      </c>
    </row>
    <row r="322" spans="1:4">
      <c r="A322" s="78" t="s">
        <v>452</v>
      </c>
      <c r="B322" s="76">
        <v>56336</v>
      </c>
      <c r="C322" s="81">
        <v>0</v>
      </c>
      <c r="D322" s="82">
        <v>0</v>
      </c>
    </row>
    <row r="323" spans="1:4" ht="28.5">
      <c r="A323" s="78" t="s">
        <v>453</v>
      </c>
      <c r="B323" s="76">
        <v>55282</v>
      </c>
      <c r="C323" s="81">
        <v>0.39639999999999997</v>
      </c>
      <c r="D323" s="82">
        <v>0.39639999999999997</v>
      </c>
    </row>
    <row r="324" spans="1:4" ht="28.5">
      <c r="A324" s="78" t="s">
        <v>454</v>
      </c>
      <c r="B324" s="76">
        <v>57680</v>
      </c>
      <c r="C324" s="81">
        <v>0</v>
      </c>
      <c r="D324" s="82">
        <v>0</v>
      </c>
    </row>
    <row r="325" spans="1:4">
      <c r="A325" s="78" t="s">
        <v>455</v>
      </c>
      <c r="B325" s="76">
        <v>56855</v>
      </c>
      <c r="C325" s="81">
        <v>0</v>
      </c>
      <c r="D325" s="82">
        <v>0</v>
      </c>
    </row>
    <row r="326" spans="1:4">
      <c r="A326" s="78" t="s">
        <v>456</v>
      </c>
      <c r="B326" s="76">
        <v>63172</v>
      </c>
      <c r="C326" s="81">
        <v>0</v>
      </c>
      <c r="D326" s="82">
        <v>0</v>
      </c>
    </row>
    <row r="327" spans="1:4">
      <c r="A327" s="78" t="s">
        <v>457</v>
      </c>
      <c r="B327" s="76">
        <v>67003</v>
      </c>
      <c r="C327" s="81">
        <v>0</v>
      </c>
      <c r="D327" s="82">
        <v>0</v>
      </c>
    </row>
    <row r="328" spans="1:4">
      <c r="A328" s="78" t="s">
        <v>458</v>
      </c>
      <c r="B328" s="76">
        <v>58262</v>
      </c>
      <c r="C328" s="81">
        <v>0</v>
      </c>
      <c r="D328" s="82">
        <v>0</v>
      </c>
    </row>
    <row r="329" spans="1:4">
      <c r="A329" s="78" t="s">
        <v>459</v>
      </c>
      <c r="B329" s="76">
        <v>8073</v>
      </c>
      <c r="C329" s="81">
        <v>0.53920000000000001</v>
      </c>
      <c r="D329" s="82">
        <v>0.53920000000000001</v>
      </c>
    </row>
    <row r="330" spans="1:4" ht="28.5">
      <c r="A330" s="78" t="s">
        <v>460</v>
      </c>
      <c r="B330" s="76">
        <v>55733</v>
      </c>
      <c r="C330" s="81">
        <v>0.5615</v>
      </c>
      <c r="D330" s="82">
        <v>0.5615</v>
      </c>
    </row>
    <row r="331" spans="1:4" ht="28.5">
      <c r="A331" s="78" t="s">
        <v>461</v>
      </c>
      <c r="B331" s="76">
        <v>10287</v>
      </c>
      <c r="C331" s="81">
        <v>2.3099999999999999E-2</v>
      </c>
      <c r="D331" s="82">
        <v>0</v>
      </c>
    </row>
    <row r="332" spans="1:4" ht="28.5">
      <c r="A332" s="78" t="s">
        <v>462</v>
      </c>
      <c r="B332" s="76">
        <v>10880</v>
      </c>
      <c r="C332" s="81">
        <v>0</v>
      </c>
      <c r="D332" s="82">
        <v>0</v>
      </c>
    </row>
    <row r="333" spans="1:4">
      <c r="A333" s="78" t="s">
        <v>463</v>
      </c>
      <c r="B333" s="76">
        <v>3074</v>
      </c>
      <c r="C333" s="81">
        <v>0</v>
      </c>
      <c r="D333" s="82">
        <v>0</v>
      </c>
    </row>
    <row r="334" spans="1:4">
      <c r="A334" s="78" t="s">
        <v>464</v>
      </c>
      <c r="B334" s="76">
        <v>57319</v>
      </c>
      <c r="C334" s="81">
        <v>0</v>
      </c>
      <c r="D334" s="82">
        <v>0</v>
      </c>
    </row>
    <row r="335" spans="1:4" ht="28.5">
      <c r="A335" s="78" t="s">
        <v>465</v>
      </c>
      <c r="B335" s="76">
        <v>56361</v>
      </c>
      <c r="C335" s="81">
        <v>0</v>
      </c>
      <c r="D335" s="82">
        <v>0</v>
      </c>
    </row>
    <row r="336" spans="1:4" ht="28.5">
      <c r="A336" s="78" t="s">
        <v>466</v>
      </c>
      <c r="B336" s="76">
        <v>56485</v>
      </c>
      <c r="C336" s="81">
        <v>0</v>
      </c>
      <c r="D336" s="82">
        <v>0</v>
      </c>
    </row>
    <row r="337" spans="1:4" ht="28.5">
      <c r="A337" s="78" t="s">
        <v>467</v>
      </c>
      <c r="B337" s="76">
        <v>56485</v>
      </c>
      <c r="C337" s="81">
        <v>0</v>
      </c>
      <c r="D337" s="82">
        <v>0</v>
      </c>
    </row>
    <row r="338" spans="1:4" ht="28.5">
      <c r="A338" s="78" t="s">
        <v>468</v>
      </c>
      <c r="B338" s="76">
        <v>56485</v>
      </c>
      <c r="C338" s="81">
        <v>0</v>
      </c>
      <c r="D338" s="82">
        <v>0</v>
      </c>
    </row>
    <row r="339" spans="1:4" ht="28.5">
      <c r="A339" s="78" t="s">
        <v>469</v>
      </c>
      <c r="B339" s="76">
        <v>6396</v>
      </c>
      <c r="C339" s="81">
        <v>0</v>
      </c>
      <c r="D339" s="82">
        <v>0</v>
      </c>
    </row>
    <row r="340" spans="1:4" ht="28.5">
      <c r="A340" s="78" t="s">
        <v>470</v>
      </c>
      <c r="B340" s="76">
        <v>56482</v>
      </c>
      <c r="C340" s="81">
        <v>0.57530000000000003</v>
      </c>
      <c r="D340" s="82">
        <v>0.57530000000000003</v>
      </c>
    </row>
    <row r="341" spans="1:4" ht="28.5">
      <c r="A341" s="78" t="s">
        <v>471</v>
      </c>
      <c r="B341" s="76">
        <v>6397</v>
      </c>
      <c r="C341" s="81">
        <v>0</v>
      </c>
      <c r="D341" s="82">
        <v>0</v>
      </c>
    </row>
    <row r="342" spans="1:4">
      <c r="A342" s="78" t="s">
        <v>472</v>
      </c>
      <c r="B342" s="76">
        <v>3075</v>
      </c>
      <c r="C342" s="81">
        <v>0</v>
      </c>
      <c r="D342" s="82">
        <v>0</v>
      </c>
    </row>
    <row r="343" spans="1:4">
      <c r="A343" s="78" t="s">
        <v>473</v>
      </c>
      <c r="B343" s="76">
        <v>8022</v>
      </c>
      <c r="C343" s="81">
        <v>0.49220000000000003</v>
      </c>
      <c r="D343" s="82">
        <v>0.49220000000000003</v>
      </c>
    </row>
    <row r="344" spans="1:4">
      <c r="A344" s="78" t="s">
        <v>474</v>
      </c>
      <c r="B344" s="76">
        <v>6433</v>
      </c>
      <c r="C344" s="81">
        <v>0</v>
      </c>
      <c r="D344" s="82">
        <v>0</v>
      </c>
    </row>
    <row r="345" spans="1:4" ht="28.5">
      <c r="A345" s="78" t="s">
        <v>475</v>
      </c>
      <c r="B345" s="76">
        <v>3891</v>
      </c>
      <c r="C345" s="81">
        <v>0</v>
      </c>
      <c r="D345" s="82">
        <v>0</v>
      </c>
    </row>
    <row r="346" spans="1:4" ht="28.5">
      <c r="A346" s="78" t="s">
        <v>476</v>
      </c>
      <c r="B346" s="76">
        <v>55991</v>
      </c>
      <c r="C346" s="81">
        <v>0</v>
      </c>
      <c r="D346" s="82">
        <v>0</v>
      </c>
    </row>
    <row r="347" spans="1:4" ht="28.5">
      <c r="A347" s="78" t="s">
        <v>477</v>
      </c>
      <c r="B347" s="76">
        <v>60145</v>
      </c>
      <c r="C347" s="81">
        <v>0</v>
      </c>
      <c r="D347" s="82">
        <v>0</v>
      </c>
    </row>
    <row r="348" spans="1:4" ht="28.5">
      <c r="A348" s="78" t="s">
        <v>478</v>
      </c>
      <c r="B348" s="76">
        <v>60152</v>
      </c>
      <c r="C348" s="81">
        <v>0</v>
      </c>
      <c r="D348" s="82">
        <v>0</v>
      </c>
    </row>
    <row r="349" spans="1:4" ht="28.5">
      <c r="A349" s="78" t="s">
        <v>479</v>
      </c>
      <c r="B349" s="76">
        <v>66014</v>
      </c>
      <c r="C349" s="81">
        <v>0</v>
      </c>
      <c r="D349" s="82">
        <v>0</v>
      </c>
    </row>
    <row r="350" spans="1:4">
      <c r="A350" s="78" t="s">
        <v>480</v>
      </c>
      <c r="B350" s="76">
        <v>811</v>
      </c>
      <c r="C350" s="81">
        <v>0</v>
      </c>
      <c r="D350" s="82">
        <v>0</v>
      </c>
    </row>
    <row r="351" spans="1:4" ht="42.75">
      <c r="A351" s="78" t="s">
        <v>481</v>
      </c>
      <c r="B351" s="76">
        <v>56446</v>
      </c>
      <c r="C351" s="81">
        <v>0</v>
      </c>
      <c r="D351" s="82">
        <v>0</v>
      </c>
    </row>
    <row r="352" spans="1:4" ht="28.5">
      <c r="A352" s="78" t="s">
        <v>482</v>
      </c>
      <c r="B352" s="76">
        <v>56446</v>
      </c>
      <c r="C352" s="81">
        <v>0</v>
      </c>
      <c r="D352" s="82">
        <v>0</v>
      </c>
    </row>
    <row r="353" spans="1:4" ht="28.5">
      <c r="A353" s="78" t="s">
        <v>483</v>
      </c>
      <c r="B353" s="76">
        <v>10706</v>
      </c>
      <c r="C353" s="81">
        <v>0</v>
      </c>
      <c r="D353" s="82">
        <v>0</v>
      </c>
    </row>
    <row r="354" spans="1:4" ht="28.5">
      <c r="A354" s="78" t="s">
        <v>484</v>
      </c>
      <c r="B354" s="76">
        <v>833</v>
      </c>
      <c r="C354" s="81">
        <v>0</v>
      </c>
      <c r="D354" s="82">
        <v>0</v>
      </c>
    </row>
    <row r="355" spans="1:4" ht="57">
      <c r="A355" s="78" t="s">
        <v>485</v>
      </c>
      <c r="B355" s="76">
        <v>57550</v>
      </c>
      <c r="C355" s="81">
        <v>0</v>
      </c>
      <c r="D355" s="82">
        <v>0</v>
      </c>
    </row>
    <row r="356" spans="1:4" ht="57">
      <c r="A356" s="78" t="s">
        <v>486</v>
      </c>
      <c r="B356" s="76">
        <v>57526</v>
      </c>
      <c r="C356" s="81">
        <v>0</v>
      </c>
      <c r="D356" s="82">
        <v>0</v>
      </c>
    </row>
    <row r="357" spans="1:4" ht="57">
      <c r="A357" s="78" t="s">
        <v>487</v>
      </c>
      <c r="B357" s="76">
        <v>57549</v>
      </c>
      <c r="C357" s="81">
        <v>0</v>
      </c>
      <c r="D357" s="82">
        <v>0</v>
      </c>
    </row>
    <row r="358" spans="1:4" ht="28.5">
      <c r="A358" s="78" t="s">
        <v>488</v>
      </c>
      <c r="B358" s="76">
        <v>50066</v>
      </c>
      <c r="C358" s="81">
        <v>2.5700000000000001E-2</v>
      </c>
      <c r="D358" s="82">
        <v>0</v>
      </c>
    </row>
    <row r="359" spans="1:4" ht="28.5">
      <c r="A359" s="78" t="s">
        <v>489</v>
      </c>
      <c r="B359" s="76">
        <v>286</v>
      </c>
      <c r="C359" s="81">
        <v>2.5700000000000001E-2</v>
      </c>
      <c r="D359" s="82">
        <v>0</v>
      </c>
    </row>
    <row r="360" spans="1:4" ht="28.5">
      <c r="A360" s="78" t="s">
        <v>490</v>
      </c>
      <c r="B360" s="76">
        <v>57090</v>
      </c>
      <c r="C360" s="81">
        <v>0</v>
      </c>
      <c r="D360" s="82">
        <v>0</v>
      </c>
    </row>
    <row r="361" spans="1:4" ht="28.5">
      <c r="A361" s="78" t="s">
        <v>491</v>
      </c>
      <c r="B361" s="76">
        <v>58503</v>
      </c>
      <c r="C361" s="81">
        <v>0.4027</v>
      </c>
      <c r="D361" s="82">
        <v>0.4027</v>
      </c>
    </row>
    <row r="362" spans="1:4" ht="28.5">
      <c r="A362" s="78" t="s">
        <v>492</v>
      </c>
      <c r="B362" s="76">
        <v>63490</v>
      </c>
      <c r="C362" s="81">
        <v>0</v>
      </c>
      <c r="D362" s="82">
        <v>0</v>
      </c>
    </row>
    <row r="363" spans="1:4">
      <c r="A363" s="78" t="s">
        <v>493</v>
      </c>
      <c r="B363" s="76">
        <v>56371</v>
      </c>
      <c r="C363" s="81">
        <v>0</v>
      </c>
      <c r="D363" s="82">
        <v>0</v>
      </c>
    </row>
    <row r="364" spans="1:4">
      <c r="A364" s="78" t="s">
        <v>494</v>
      </c>
      <c r="B364" s="76">
        <v>6406</v>
      </c>
      <c r="C364" s="81">
        <v>0</v>
      </c>
      <c r="D364" s="82">
        <v>0</v>
      </c>
    </row>
    <row r="365" spans="1:4">
      <c r="A365" s="78" t="s">
        <v>495</v>
      </c>
      <c r="B365" s="76">
        <v>55662</v>
      </c>
      <c r="C365" s="81">
        <v>0.40849999999999997</v>
      </c>
      <c r="D365" s="82">
        <v>0.40849999999999997</v>
      </c>
    </row>
    <row r="366" spans="1:4" ht="28.5">
      <c r="A366" s="78" t="s">
        <v>496</v>
      </c>
      <c r="B366" s="76">
        <v>66001</v>
      </c>
      <c r="C366" s="81">
        <v>0</v>
      </c>
      <c r="D366" s="82">
        <v>0</v>
      </c>
    </row>
    <row r="367" spans="1:4" ht="28.5">
      <c r="A367" s="78" t="s">
        <v>497</v>
      </c>
      <c r="B367" s="76">
        <v>67176</v>
      </c>
      <c r="C367" s="81">
        <v>0</v>
      </c>
      <c r="D367" s="82">
        <v>0</v>
      </c>
    </row>
    <row r="368" spans="1:4" ht="28.5">
      <c r="A368" s="78" t="s">
        <v>498</v>
      </c>
      <c r="B368" s="76">
        <v>3921</v>
      </c>
      <c r="C368" s="81">
        <v>0</v>
      </c>
      <c r="D368" s="82">
        <v>0</v>
      </c>
    </row>
    <row r="369" spans="1:4">
      <c r="A369" s="78" t="s">
        <v>499</v>
      </c>
      <c r="B369" s="76">
        <v>57560</v>
      </c>
      <c r="C369" s="81">
        <v>0</v>
      </c>
      <c r="D369" s="82">
        <v>0</v>
      </c>
    </row>
    <row r="370" spans="1:4" ht="28.5">
      <c r="A370" s="78" t="s">
        <v>500</v>
      </c>
      <c r="B370" s="76">
        <v>113</v>
      </c>
      <c r="C370" s="81">
        <v>1.1624000000000001</v>
      </c>
      <c r="D370" s="82">
        <v>1.1624000000000001</v>
      </c>
    </row>
    <row r="371" spans="1:4" ht="28.5">
      <c r="A371" s="78" t="s">
        <v>501</v>
      </c>
      <c r="B371" s="76">
        <v>55322</v>
      </c>
      <c r="C371" s="81">
        <v>0.40339999999999998</v>
      </c>
      <c r="D371" s="82">
        <v>0.40339999999999998</v>
      </c>
    </row>
    <row r="372" spans="1:4">
      <c r="A372" s="78" t="s">
        <v>502</v>
      </c>
      <c r="B372" s="76">
        <v>812</v>
      </c>
      <c r="C372" s="81">
        <v>0</v>
      </c>
      <c r="D372" s="82">
        <v>0</v>
      </c>
    </row>
    <row r="373" spans="1:4">
      <c r="A373" s="78" t="s">
        <v>503</v>
      </c>
      <c r="B373" s="76">
        <v>2322</v>
      </c>
      <c r="C373" s="81">
        <v>0.54159999999999997</v>
      </c>
      <c r="D373" s="82">
        <v>0.54159999999999997</v>
      </c>
    </row>
    <row r="374" spans="1:4">
      <c r="A374" s="78" t="s">
        <v>504</v>
      </c>
      <c r="B374" s="76">
        <v>65577</v>
      </c>
      <c r="C374" s="81">
        <v>0</v>
      </c>
      <c r="D374" s="82">
        <v>0</v>
      </c>
    </row>
    <row r="375" spans="1:4" ht="28.5">
      <c r="A375" s="78" t="s">
        <v>505</v>
      </c>
      <c r="B375" s="76">
        <v>66811</v>
      </c>
      <c r="C375" s="81">
        <v>0</v>
      </c>
      <c r="D375" s="82">
        <v>0</v>
      </c>
    </row>
    <row r="376" spans="1:4" ht="28.5">
      <c r="A376" s="78" t="s">
        <v>506</v>
      </c>
      <c r="B376" s="76">
        <v>64054</v>
      </c>
      <c r="C376" s="81">
        <v>0</v>
      </c>
      <c r="D376" s="82">
        <v>0</v>
      </c>
    </row>
    <row r="377" spans="1:4" ht="42.75">
      <c r="A377" s="78" t="s">
        <v>507</v>
      </c>
      <c r="B377" s="76">
        <v>454</v>
      </c>
      <c r="C377" s="81">
        <v>0</v>
      </c>
      <c r="D377" s="82">
        <v>0</v>
      </c>
    </row>
    <row r="378" spans="1:4">
      <c r="A378" s="78" t="s">
        <v>508</v>
      </c>
      <c r="B378" s="76">
        <v>6076</v>
      </c>
      <c r="C378" s="81">
        <v>1.0136000000000001</v>
      </c>
      <c r="D378" s="82">
        <v>1.0136000000000001</v>
      </c>
    </row>
    <row r="379" spans="1:4" ht="42.75">
      <c r="A379" s="78" t="s">
        <v>509</v>
      </c>
      <c r="B379" s="76">
        <v>371</v>
      </c>
      <c r="C379" s="81">
        <v>0</v>
      </c>
      <c r="D379" s="82">
        <v>0</v>
      </c>
    </row>
    <row r="380" spans="1:4" ht="28.5">
      <c r="A380" s="78" t="s">
        <v>510</v>
      </c>
      <c r="B380" s="76">
        <v>56195</v>
      </c>
      <c r="C380" s="81">
        <v>0</v>
      </c>
      <c r="D380" s="82">
        <v>0</v>
      </c>
    </row>
    <row r="381" spans="1:4">
      <c r="A381" s="78" t="s">
        <v>511</v>
      </c>
      <c r="B381" s="76">
        <v>55739</v>
      </c>
      <c r="C381" s="81">
        <v>0</v>
      </c>
      <c r="D381" s="82">
        <v>0</v>
      </c>
    </row>
    <row r="382" spans="1:4" ht="28.5">
      <c r="A382" s="78" t="s">
        <v>512</v>
      </c>
      <c r="B382" s="76">
        <v>56948</v>
      </c>
      <c r="C382" s="81">
        <v>0.57189999999999996</v>
      </c>
      <c r="D382" s="82">
        <v>0.57189999999999996</v>
      </c>
    </row>
    <row r="383" spans="1:4" ht="42.75">
      <c r="A383" s="78" t="s">
        <v>513</v>
      </c>
      <c r="B383" s="76">
        <v>58413</v>
      </c>
      <c r="C383" s="81">
        <v>0.38269999999999998</v>
      </c>
      <c r="D383" s="82">
        <v>0.38269999999999998</v>
      </c>
    </row>
    <row r="384" spans="1:4" ht="28.5">
      <c r="A384" s="78" t="s">
        <v>514</v>
      </c>
      <c r="B384" s="76">
        <v>56944</v>
      </c>
      <c r="C384" s="81">
        <v>0</v>
      </c>
      <c r="D384" s="82">
        <v>0</v>
      </c>
    </row>
    <row r="385" spans="1:4" ht="28.5">
      <c r="A385" s="78" t="s">
        <v>515</v>
      </c>
      <c r="B385" s="76">
        <v>57205</v>
      </c>
      <c r="C385" s="81">
        <v>0</v>
      </c>
      <c r="D385" s="82">
        <v>0</v>
      </c>
    </row>
    <row r="386" spans="1:4" ht="28.5">
      <c r="A386" s="78" t="s">
        <v>516</v>
      </c>
      <c r="B386" s="76">
        <v>58017</v>
      </c>
      <c r="C386" s="81">
        <v>0</v>
      </c>
      <c r="D386" s="82">
        <v>0</v>
      </c>
    </row>
    <row r="387" spans="1:4" ht="28.5">
      <c r="A387" s="78" t="s">
        <v>517</v>
      </c>
      <c r="B387" s="76">
        <v>58915</v>
      </c>
      <c r="C387" s="81">
        <v>0</v>
      </c>
      <c r="D387" s="82">
        <v>0</v>
      </c>
    </row>
    <row r="388" spans="1:4" ht="28.5">
      <c r="A388" s="78" t="s">
        <v>518</v>
      </c>
      <c r="B388" s="76">
        <v>59814</v>
      </c>
      <c r="C388" s="81">
        <v>0</v>
      </c>
      <c r="D388" s="82">
        <v>0</v>
      </c>
    </row>
    <row r="389" spans="1:4" ht="42.75">
      <c r="A389" s="78" t="s">
        <v>519</v>
      </c>
      <c r="B389" s="76">
        <v>54299</v>
      </c>
      <c r="C389" s="81">
        <v>0</v>
      </c>
      <c r="D389" s="82">
        <v>0</v>
      </c>
    </row>
    <row r="390" spans="1:4" ht="28.5">
      <c r="A390" s="78" t="s">
        <v>520</v>
      </c>
      <c r="B390" s="76">
        <v>6177</v>
      </c>
      <c r="C390" s="81">
        <v>1.1886000000000001</v>
      </c>
      <c r="D390" s="82">
        <v>1.1886000000000001</v>
      </c>
    </row>
    <row r="391" spans="1:4" ht="28.5">
      <c r="A391" s="78" t="s">
        <v>521</v>
      </c>
      <c r="B391" s="76">
        <v>57561</v>
      </c>
      <c r="C391" s="81">
        <v>0</v>
      </c>
      <c r="D391" s="82">
        <v>0</v>
      </c>
    </row>
    <row r="392" spans="1:4">
      <c r="A392" s="78" t="s">
        <v>522</v>
      </c>
      <c r="B392" s="76">
        <v>3076</v>
      </c>
      <c r="C392" s="81">
        <v>0</v>
      </c>
      <c r="D392" s="82">
        <v>0</v>
      </c>
    </row>
    <row r="393" spans="1:4" ht="42.75">
      <c r="A393" s="78" t="s">
        <v>523</v>
      </c>
      <c r="B393" s="76">
        <v>3917</v>
      </c>
      <c r="C393" s="81">
        <v>0</v>
      </c>
      <c r="D393" s="82">
        <v>0</v>
      </c>
    </row>
    <row r="394" spans="1:4" ht="28.5">
      <c r="A394" s="78" t="s">
        <v>524</v>
      </c>
      <c r="B394" s="76">
        <v>7427</v>
      </c>
      <c r="C394" s="81">
        <v>0</v>
      </c>
      <c r="D394" s="82">
        <v>0</v>
      </c>
    </row>
    <row r="395" spans="1:4">
      <c r="A395" s="78" t="s">
        <v>525</v>
      </c>
      <c r="B395" s="76">
        <v>7350</v>
      </c>
      <c r="C395" s="81">
        <v>0.37330000000000002</v>
      </c>
      <c r="D395" s="82">
        <v>0</v>
      </c>
    </row>
    <row r="396" spans="1:4">
      <c r="A396" s="78" t="s">
        <v>526</v>
      </c>
      <c r="B396" s="76">
        <v>7931</v>
      </c>
      <c r="C396" s="81">
        <v>0.3659</v>
      </c>
      <c r="D396" s="82">
        <v>0</v>
      </c>
    </row>
    <row r="397" spans="1:4">
      <c r="A397" s="78" t="s">
        <v>527</v>
      </c>
      <c r="B397" s="76">
        <v>6021</v>
      </c>
      <c r="C397" s="81">
        <v>1.1265000000000001</v>
      </c>
      <c r="D397" s="82">
        <v>1.1265000000000001</v>
      </c>
    </row>
    <row r="398" spans="1:4">
      <c r="A398" s="78" t="s">
        <v>528</v>
      </c>
      <c r="B398" s="76">
        <v>56102</v>
      </c>
      <c r="C398" s="81">
        <v>0.39860000000000001</v>
      </c>
      <c r="D398" s="82">
        <v>0.39860000000000001</v>
      </c>
    </row>
    <row r="399" spans="1:4">
      <c r="A399" s="78" t="s">
        <v>529</v>
      </c>
      <c r="B399" s="76">
        <v>4158</v>
      </c>
      <c r="C399" s="81">
        <v>1.1778999999999999</v>
      </c>
      <c r="D399" s="82">
        <v>1.1778999999999999</v>
      </c>
    </row>
    <row r="400" spans="1:4" ht="28.5">
      <c r="A400" s="78" t="s">
        <v>530</v>
      </c>
      <c r="B400" s="76">
        <v>124</v>
      </c>
      <c r="C400" s="81">
        <v>0.76219999999999999</v>
      </c>
      <c r="D400" s="82">
        <v>0.76219999999999999</v>
      </c>
    </row>
    <row r="401" spans="1:4" ht="28.5">
      <c r="A401" s="78" t="s">
        <v>531</v>
      </c>
      <c r="B401" s="76">
        <v>55129</v>
      </c>
      <c r="C401" s="81">
        <v>0.4143</v>
      </c>
      <c r="D401" s="82">
        <v>0.4143</v>
      </c>
    </row>
    <row r="402" spans="1:4">
      <c r="A402" s="78" t="s">
        <v>532</v>
      </c>
      <c r="B402" s="76">
        <v>59444</v>
      </c>
      <c r="C402" s="81">
        <v>0</v>
      </c>
      <c r="D402" s="82">
        <v>0</v>
      </c>
    </row>
    <row r="403" spans="1:4" ht="57">
      <c r="A403" s="78" t="s">
        <v>533</v>
      </c>
      <c r="B403" s="76">
        <v>55077</v>
      </c>
      <c r="C403" s="81">
        <v>0.41239999999999999</v>
      </c>
      <c r="D403" s="82">
        <v>0.41239999999999999</v>
      </c>
    </row>
    <row r="404" spans="1:4">
      <c r="A404" s="78" t="s">
        <v>534</v>
      </c>
      <c r="B404" s="76">
        <v>3077</v>
      </c>
      <c r="C404" s="81">
        <v>0</v>
      </c>
      <c r="D404" s="82">
        <v>0</v>
      </c>
    </row>
    <row r="405" spans="1:4">
      <c r="A405" s="78" t="s">
        <v>535</v>
      </c>
      <c r="B405" s="76">
        <v>3078</v>
      </c>
      <c r="C405" s="81">
        <v>0</v>
      </c>
      <c r="D405" s="82">
        <v>0</v>
      </c>
    </row>
    <row r="406" spans="1:4">
      <c r="A406" s="78" t="s">
        <v>536</v>
      </c>
      <c r="B406" s="76">
        <v>6432</v>
      </c>
      <c r="C406" s="81">
        <v>0</v>
      </c>
      <c r="D406" s="82">
        <v>0</v>
      </c>
    </row>
    <row r="407" spans="1:4" ht="42.75">
      <c r="A407" s="78" t="s">
        <v>537</v>
      </c>
      <c r="B407" s="76">
        <v>60419</v>
      </c>
      <c r="C407" s="81">
        <v>0</v>
      </c>
      <c r="D407" s="82">
        <v>0</v>
      </c>
    </row>
    <row r="408" spans="1:4" ht="42.75">
      <c r="A408" s="78" t="s">
        <v>538</v>
      </c>
      <c r="B408" s="76">
        <v>58533</v>
      </c>
      <c r="C408" s="81">
        <v>0</v>
      </c>
      <c r="D408" s="82">
        <v>0</v>
      </c>
    </row>
    <row r="409" spans="1:4">
      <c r="A409" s="78" t="s">
        <v>539</v>
      </c>
      <c r="B409" s="76">
        <v>57299</v>
      </c>
      <c r="C409" s="81">
        <v>0</v>
      </c>
      <c r="D409" s="82">
        <v>0</v>
      </c>
    </row>
    <row r="410" spans="1:4" ht="28.5">
      <c r="A410" s="78" t="s">
        <v>540</v>
      </c>
      <c r="B410" s="76">
        <v>64065</v>
      </c>
      <c r="C410" s="81">
        <v>0</v>
      </c>
      <c r="D410" s="82">
        <v>0</v>
      </c>
    </row>
    <row r="411" spans="1:4">
      <c r="A411" s="78" t="s">
        <v>541</v>
      </c>
      <c r="B411" s="76">
        <v>840</v>
      </c>
      <c r="C411" s="81">
        <v>0</v>
      </c>
      <c r="D411" s="82">
        <v>0</v>
      </c>
    </row>
    <row r="412" spans="1:4" ht="42.75">
      <c r="A412" s="78" t="s">
        <v>542</v>
      </c>
      <c r="B412" s="76">
        <v>56696</v>
      </c>
      <c r="C412" s="81">
        <v>0</v>
      </c>
      <c r="D412" s="82">
        <v>0</v>
      </c>
    </row>
    <row r="413" spans="1:4">
      <c r="A413" s="78" t="s">
        <v>543</v>
      </c>
      <c r="B413" s="76">
        <v>58098</v>
      </c>
      <c r="C413" s="81">
        <v>0</v>
      </c>
      <c r="D413" s="82">
        <v>0</v>
      </c>
    </row>
    <row r="414" spans="1:4" ht="28.5">
      <c r="A414" s="78" t="s">
        <v>544</v>
      </c>
      <c r="B414" s="76">
        <v>56623</v>
      </c>
      <c r="C414" s="81">
        <v>0</v>
      </c>
      <c r="D414" s="82">
        <v>0</v>
      </c>
    </row>
    <row r="415" spans="1:4" ht="28.5">
      <c r="A415" s="78" t="s">
        <v>545</v>
      </c>
      <c r="B415" s="76">
        <v>7870</v>
      </c>
      <c r="C415" s="81">
        <v>0.47289999999999999</v>
      </c>
      <c r="D415" s="82">
        <v>0.47289999999999999</v>
      </c>
    </row>
    <row r="416" spans="1:4" ht="28.5">
      <c r="A416" s="78" t="s">
        <v>546</v>
      </c>
      <c r="B416" s="76">
        <v>57137</v>
      </c>
      <c r="C416" s="81">
        <v>0</v>
      </c>
      <c r="D416" s="82">
        <v>0</v>
      </c>
    </row>
    <row r="417" spans="1:4" ht="28.5">
      <c r="A417" s="78" t="s">
        <v>547</v>
      </c>
      <c r="B417" s="76">
        <v>7953</v>
      </c>
      <c r="C417" s="81">
        <v>0.58540000000000003</v>
      </c>
      <c r="D417" s="82">
        <v>0.58540000000000003</v>
      </c>
    </row>
    <row r="418" spans="1:4" ht="28.5">
      <c r="A418" s="78" t="s">
        <v>548</v>
      </c>
      <c r="B418" s="76">
        <v>54537</v>
      </c>
      <c r="C418" s="81">
        <v>0.42230000000000001</v>
      </c>
      <c r="D418" s="82">
        <v>0.42230000000000001</v>
      </c>
    </row>
    <row r="419" spans="1:4">
      <c r="A419" s="78" t="s">
        <v>549</v>
      </c>
      <c r="B419" s="76">
        <v>57997</v>
      </c>
      <c r="C419" s="81">
        <v>0</v>
      </c>
      <c r="D419" s="82">
        <v>0</v>
      </c>
    </row>
    <row r="420" spans="1:4" ht="28.5">
      <c r="A420" s="78" t="s">
        <v>550</v>
      </c>
      <c r="B420" s="76">
        <v>2330</v>
      </c>
      <c r="C420" s="81">
        <v>0.63970000000000005</v>
      </c>
      <c r="D420" s="82">
        <v>0.63970000000000005</v>
      </c>
    </row>
    <row r="421" spans="1:4">
      <c r="A421" s="78" t="s">
        <v>551</v>
      </c>
      <c r="B421" s="76">
        <v>6552</v>
      </c>
      <c r="C421" s="81">
        <v>0</v>
      </c>
      <c r="D421" s="82">
        <v>0</v>
      </c>
    </row>
    <row r="422" spans="1:4" ht="28.5">
      <c r="A422" s="78" t="s">
        <v>552</v>
      </c>
      <c r="B422" s="76">
        <v>2442</v>
      </c>
      <c r="C422" s="81">
        <v>0.96640000000000004</v>
      </c>
      <c r="D422" s="82">
        <v>0.96640000000000004</v>
      </c>
    </row>
    <row r="423" spans="1:4" ht="57">
      <c r="A423" s="78" t="s">
        <v>553</v>
      </c>
      <c r="B423" s="76">
        <v>58324</v>
      </c>
      <c r="C423" s="81">
        <v>0</v>
      </c>
      <c r="D423" s="82">
        <v>0</v>
      </c>
    </row>
    <row r="424" spans="1:4" ht="57">
      <c r="A424" s="78" t="s">
        <v>554</v>
      </c>
      <c r="B424" s="76">
        <v>55989</v>
      </c>
      <c r="C424" s="81">
        <v>0</v>
      </c>
      <c r="D424" s="82">
        <v>0</v>
      </c>
    </row>
    <row r="425" spans="1:4" ht="28.5">
      <c r="A425" s="78" t="s">
        <v>555</v>
      </c>
      <c r="B425" s="76">
        <v>2336</v>
      </c>
      <c r="C425" s="81">
        <v>0.42949999999999999</v>
      </c>
      <c r="D425" s="82">
        <v>0.42949999999999999</v>
      </c>
    </row>
    <row r="426" spans="1:4" ht="28.5">
      <c r="A426" s="78" t="s">
        <v>556</v>
      </c>
      <c r="B426" s="76">
        <v>607</v>
      </c>
      <c r="C426" s="81">
        <v>0.66310000000000002</v>
      </c>
      <c r="D426" s="82">
        <v>0.66310000000000002</v>
      </c>
    </row>
    <row r="427" spans="1:4">
      <c r="A427" s="78" t="s">
        <v>557</v>
      </c>
      <c r="B427" s="76">
        <v>3648</v>
      </c>
      <c r="C427" s="81">
        <v>0.87070000000000003</v>
      </c>
      <c r="D427" s="82">
        <v>0.87070000000000003</v>
      </c>
    </row>
    <row r="428" spans="1:4" ht="28.5">
      <c r="A428" s="78" t="s">
        <v>558</v>
      </c>
      <c r="B428" s="76">
        <v>56540</v>
      </c>
      <c r="C428" s="81">
        <v>0</v>
      </c>
      <c r="D428" s="82">
        <v>0</v>
      </c>
    </row>
    <row r="429" spans="1:4" ht="28.5">
      <c r="A429" s="78" t="s">
        <v>559</v>
      </c>
      <c r="B429" s="76">
        <v>56541</v>
      </c>
      <c r="C429" s="81">
        <v>0</v>
      </c>
      <c r="D429" s="82">
        <v>0</v>
      </c>
    </row>
    <row r="430" spans="1:4" ht="28.5">
      <c r="A430" s="78" t="s">
        <v>560</v>
      </c>
      <c r="B430" s="76">
        <v>59020</v>
      </c>
      <c r="C430" s="81">
        <v>0</v>
      </c>
      <c r="D430" s="82">
        <v>0</v>
      </c>
    </row>
    <row r="431" spans="1:4" ht="28.5">
      <c r="A431" s="78" t="s">
        <v>561</v>
      </c>
      <c r="B431" s="76">
        <v>59338</v>
      </c>
      <c r="C431" s="81">
        <v>0.3997</v>
      </c>
      <c r="D431" s="82">
        <v>0.3997</v>
      </c>
    </row>
    <row r="432" spans="1:4" ht="28.5">
      <c r="A432" s="78" t="s">
        <v>562</v>
      </c>
      <c r="B432" s="76">
        <v>60768</v>
      </c>
      <c r="C432" s="81">
        <v>0.39410000000000001</v>
      </c>
      <c r="D432" s="82">
        <v>0.39410000000000001</v>
      </c>
    </row>
    <row r="433" spans="1:4" ht="28.5">
      <c r="A433" s="78" t="s">
        <v>563</v>
      </c>
      <c r="B433" s="76">
        <v>59784</v>
      </c>
      <c r="C433" s="81">
        <v>0.39090000000000003</v>
      </c>
      <c r="D433" s="82">
        <v>0.39090000000000003</v>
      </c>
    </row>
    <row r="434" spans="1:4" ht="28.5">
      <c r="A434" s="78" t="s">
        <v>564</v>
      </c>
      <c r="B434" s="76">
        <v>55306</v>
      </c>
      <c r="C434" s="81">
        <v>0.40389999999999998</v>
      </c>
      <c r="D434" s="82">
        <v>0.40389999999999998</v>
      </c>
    </row>
    <row r="435" spans="1:4" ht="28.5">
      <c r="A435" s="78" t="s">
        <v>565</v>
      </c>
      <c r="B435" s="76">
        <v>57049</v>
      </c>
      <c r="C435" s="81">
        <v>0</v>
      </c>
      <c r="D435" s="82">
        <v>0</v>
      </c>
    </row>
    <row r="436" spans="1:4">
      <c r="A436" s="78" t="s">
        <v>566</v>
      </c>
      <c r="B436" s="76">
        <v>57050</v>
      </c>
      <c r="C436" s="81">
        <v>0</v>
      </c>
      <c r="D436" s="82">
        <v>0</v>
      </c>
    </row>
    <row r="437" spans="1:4">
      <c r="A437" s="78" t="s">
        <v>567</v>
      </c>
      <c r="B437" s="76">
        <v>153</v>
      </c>
      <c r="C437" s="81">
        <v>0</v>
      </c>
      <c r="D437" s="82">
        <v>0</v>
      </c>
    </row>
    <row r="438" spans="1:4">
      <c r="A438" s="78" t="s">
        <v>568</v>
      </c>
      <c r="B438" s="76">
        <v>56841</v>
      </c>
      <c r="C438" s="81">
        <v>0</v>
      </c>
      <c r="D438" s="82">
        <v>0</v>
      </c>
    </row>
    <row r="439" spans="1:4">
      <c r="A439" s="78" t="s">
        <v>569</v>
      </c>
      <c r="B439" s="76">
        <v>56841</v>
      </c>
      <c r="C439" s="81">
        <v>0</v>
      </c>
      <c r="D439" s="82">
        <v>0</v>
      </c>
    </row>
    <row r="440" spans="1:4" ht="28.5">
      <c r="A440" s="78" t="s">
        <v>570</v>
      </c>
      <c r="B440" s="76">
        <v>55482</v>
      </c>
      <c r="C440" s="81">
        <v>0.38040000000000002</v>
      </c>
      <c r="D440" s="82">
        <v>0.38040000000000002</v>
      </c>
    </row>
    <row r="441" spans="1:4" ht="28.5">
      <c r="A441" s="78" t="s">
        <v>571</v>
      </c>
      <c r="B441" s="76">
        <v>56666</v>
      </c>
      <c r="C441" s="81">
        <v>0</v>
      </c>
      <c r="D441" s="82">
        <v>0</v>
      </c>
    </row>
    <row r="442" spans="1:4">
      <c r="A442" s="78" t="s">
        <v>572</v>
      </c>
      <c r="B442" s="76">
        <v>6431</v>
      </c>
      <c r="C442" s="81">
        <v>0</v>
      </c>
      <c r="D442" s="82">
        <v>0</v>
      </c>
    </row>
    <row r="443" spans="1:4" ht="28.5">
      <c r="A443" s="78" t="s">
        <v>573</v>
      </c>
      <c r="B443" s="76">
        <v>57211</v>
      </c>
      <c r="C443" s="81">
        <v>0</v>
      </c>
      <c r="D443" s="82">
        <v>0</v>
      </c>
    </row>
    <row r="444" spans="1:4">
      <c r="A444" s="78" t="s">
        <v>574</v>
      </c>
      <c r="B444" s="76">
        <v>63229</v>
      </c>
      <c r="C444" s="81">
        <v>0</v>
      </c>
      <c r="D444" s="82">
        <v>0</v>
      </c>
    </row>
    <row r="445" spans="1:4" ht="28.5">
      <c r="A445" s="78" t="s">
        <v>575</v>
      </c>
      <c r="B445" s="76">
        <v>6163</v>
      </c>
      <c r="C445" s="81">
        <v>0</v>
      </c>
      <c r="D445" s="82">
        <v>0</v>
      </c>
    </row>
    <row r="446" spans="1:4" ht="28.5">
      <c r="A446" s="78" t="s">
        <v>576</v>
      </c>
      <c r="B446" s="76">
        <v>60068</v>
      </c>
      <c r="C446" s="81">
        <v>0</v>
      </c>
      <c r="D446" s="82">
        <v>0</v>
      </c>
    </row>
    <row r="447" spans="1:4" ht="28.5">
      <c r="A447" s="78" t="s">
        <v>577</v>
      </c>
      <c r="B447" s="76">
        <v>7999</v>
      </c>
      <c r="C447" s="81">
        <v>0.38629999999999998</v>
      </c>
      <c r="D447" s="82">
        <v>0.38629999999999998</v>
      </c>
    </row>
    <row r="448" spans="1:4" ht="28.5">
      <c r="A448" s="78" t="s">
        <v>578</v>
      </c>
      <c r="B448" s="76">
        <v>3080</v>
      </c>
      <c r="C448" s="81">
        <v>0</v>
      </c>
      <c r="D448" s="82">
        <v>0</v>
      </c>
    </row>
    <row r="449" spans="1:4" ht="28.5">
      <c r="A449" s="78" t="s">
        <v>579</v>
      </c>
      <c r="B449" s="76">
        <v>6403</v>
      </c>
      <c r="C449" s="81">
        <v>0</v>
      </c>
      <c r="D449" s="82">
        <v>0</v>
      </c>
    </row>
    <row r="450" spans="1:4">
      <c r="A450" s="78" t="s">
        <v>580</v>
      </c>
      <c r="B450" s="76">
        <v>55124</v>
      </c>
      <c r="C450" s="81">
        <v>0.39100000000000001</v>
      </c>
      <c r="D450" s="82">
        <v>0.39100000000000001</v>
      </c>
    </row>
    <row r="451" spans="1:4" ht="71.25">
      <c r="A451" s="78" t="s">
        <v>581</v>
      </c>
      <c r="B451" s="76">
        <v>126</v>
      </c>
      <c r="C451" s="81">
        <v>0.53639999999999999</v>
      </c>
      <c r="D451" s="82">
        <v>0.53639999999999999</v>
      </c>
    </row>
    <row r="452" spans="1:4" ht="28.5">
      <c r="A452" s="78" t="s">
        <v>582</v>
      </c>
      <c r="B452" s="76">
        <v>55372</v>
      </c>
      <c r="C452" s="81">
        <v>0.3896</v>
      </c>
      <c r="D452" s="82">
        <v>0.3896</v>
      </c>
    </row>
    <row r="453" spans="1:4">
      <c r="A453" s="78" t="s">
        <v>583</v>
      </c>
      <c r="B453" s="76">
        <v>63080</v>
      </c>
      <c r="C453" s="81">
        <v>0</v>
      </c>
      <c r="D453" s="82">
        <v>0</v>
      </c>
    </row>
    <row r="454" spans="1:4">
      <c r="A454" s="78" t="s">
        <v>584</v>
      </c>
      <c r="B454" s="76">
        <v>7082</v>
      </c>
      <c r="C454" s="81">
        <v>0.4178</v>
      </c>
      <c r="D454" s="82">
        <v>0.4178</v>
      </c>
    </row>
    <row r="455" spans="1:4">
      <c r="A455" s="78" t="s">
        <v>585</v>
      </c>
      <c r="B455" s="76">
        <v>57152</v>
      </c>
      <c r="C455" s="81">
        <v>0</v>
      </c>
      <c r="D455" s="82">
        <v>0</v>
      </c>
    </row>
    <row r="456" spans="1:4" ht="28.5">
      <c r="A456" s="78" t="s">
        <v>586</v>
      </c>
      <c r="B456" s="76">
        <v>10882</v>
      </c>
      <c r="C456" s="81">
        <v>0</v>
      </c>
      <c r="D456" s="82">
        <v>0</v>
      </c>
    </row>
    <row r="457" spans="1:4">
      <c r="A457" s="78" t="s">
        <v>587</v>
      </c>
      <c r="B457" s="76">
        <v>56790</v>
      </c>
      <c r="C457" s="81">
        <v>0</v>
      </c>
      <c r="D457" s="82">
        <v>0</v>
      </c>
    </row>
    <row r="458" spans="1:4">
      <c r="A458" s="78" t="s">
        <v>588</v>
      </c>
      <c r="B458" s="76">
        <v>525</v>
      </c>
      <c r="C458" s="81">
        <v>1.0932999999999999</v>
      </c>
      <c r="D458" s="82">
        <v>1.0932999999999999</v>
      </c>
    </row>
    <row r="459" spans="1:4" ht="28.5">
      <c r="A459" s="78" t="s">
        <v>589</v>
      </c>
      <c r="B459" s="76">
        <v>7179</v>
      </c>
      <c r="C459" s="81">
        <v>0</v>
      </c>
      <c r="D459" s="82">
        <v>0</v>
      </c>
    </row>
    <row r="460" spans="1:4">
      <c r="A460" s="78" t="s">
        <v>590</v>
      </c>
      <c r="B460" s="76">
        <v>54689</v>
      </c>
      <c r="C460" s="81">
        <v>0</v>
      </c>
      <c r="D460" s="82">
        <v>0</v>
      </c>
    </row>
    <row r="461" spans="1:4" ht="28.5">
      <c r="A461" s="78" t="s">
        <v>591</v>
      </c>
      <c r="B461" s="76">
        <v>3013</v>
      </c>
      <c r="C461" s="81">
        <v>0</v>
      </c>
      <c r="D461" s="82">
        <v>0</v>
      </c>
    </row>
    <row r="462" spans="1:4">
      <c r="A462" s="78" t="s">
        <v>592</v>
      </c>
      <c r="B462" s="76">
        <v>54761</v>
      </c>
      <c r="C462" s="81">
        <v>0.39860000000000001</v>
      </c>
      <c r="D462" s="82">
        <v>0.39860000000000001</v>
      </c>
    </row>
    <row r="463" spans="1:4">
      <c r="A463" s="78" t="s">
        <v>593</v>
      </c>
      <c r="B463" s="76">
        <v>55328</v>
      </c>
      <c r="C463" s="81">
        <v>0.39910000000000001</v>
      </c>
      <c r="D463" s="82">
        <v>0.39910000000000001</v>
      </c>
    </row>
    <row r="464" spans="1:4" ht="28.5">
      <c r="A464" s="78" t="s">
        <v>594</v>
      </c>
      <c r="B464" s="76">
        <v>55687</v>
      </c>
      <c r="C464" s="81">
        <v>0.40670000000000001</v>
      </c>
      <c r="D464" s="82">
        <v>0.40670000000000001</v>
      </c>
    </row>
    <row r="465" spans="1:4" ht="28.5">
      <c r="A465" s="78" t="s">
        <v>595</v>
      </c>
      <c r="B465" s="76">
        <v>56945</v>
      </c>
      <c r="C465" s="81">
        <v>0</v>
      </c>
      <c r="D465" s="82">
        <v>0</v>
      </c>
    </row>
    <row r="466" spans="1:4" ht="42.75">
      <c r="A466" s="78" t="s">
        <v>596</v>
      </c>
      <c r="B466" s="76">
        <v>58019</v>
      </c>
      <c r="C466" s="81">
        <v>0</v>
      </c>
      <c r="D466" s="82">
        <v>0</v>
      </c>
    </row>
    <row r="467" spans="1:4">
      <c r="A467" s="78" t="s">
        <v>597</v>
      </c>
      <c r="B467" s="76">
        <v>57040</v>
      </c>
      <c r="C467" s="81">
        <v>0</v>
      </c>
      <c r="D467" s="82">
        <v>0</v>
      </c>
    </row>
    <row r="468" spans="1:4">
      <c r="A468" s="78" t="s">
        <v>598</v>
      </c>
      <c r="B468" s="76">
        <v>3081</v>
      </c>
      <c r="C468" s="81">
        <v>0</v>
      </c>
      <c r="D468" s="82">
        <v>0</v>
      </c>
    </row>
    <row r="469" spans="1:4">
      <c r="A469" s="78" t="s">
        <v>599</v>
      </c>
      <c r="B469" s="76">
        <v>2186</v>
      </c>
      <c r="C469" s="81">
        <v>0</v>
      </c>
      <c r="D469" s="82">
        <v>0</v>
      </c>
    </row>
    <row r="470" spans="1:4">
      <c r="A470" s="78" t="s">
        <v>600</v>
      </c>
      <c r="B470" s="76">
        <v>154</v>
      </c>
      <c r="C470" s="81">
        <v>0</v>
      </c>
      <c r="D470" s="82">
        <v>0</v>
      </c>
    </row>
    <row r="471" spans="1:4" ht="28.5">
      <c r="A471" s="78" t="s">
        <v>601</v>
      </c>
      <c r="B471" s="76">
        <v>56255</v>
      </c>
      <c r="C471" s="81">
        <v>0</v>
      </c>
      <c r="D471" s="82">
        <v>0</v>
      </c>
    </row>
    <row r="472" spans="1:4">
      <c r="A472" s="78" t="s">
        <v>602</v>
      </c>
      <c r="B472" s="76">
        <v>57890</v>
      </c>
      <c r="C472" s="81">
        <v>0</v>
      </c>
      <c r="D472" s="82">
        <v>0</v>
      </c>
    </row>
    <row r="473" spans="1:4" ht="28.5">
      <c r="A473" s="78" t="s">
        <v>603</v>
      </c>
      <c r="B473" s="76">
        <v>145</v>
      </c>
      <c r="C473" s="81">
        <v>0</v>
      </c>
      <c r="D473" s="82">
        <v>0</v>
      </c>
    </row>
    <row r="474" spans="1:4" ht="28.5">
      <c r="A474" s="78" t="s">
        <v>604</v>
      </c>
      <c r="B474" s="76">
        <v>56591</v>
      </c>
      <c r="C474" s="81">
        <v>0</v>
      </c>
      <c r="D474" s="82">
        <v>0</v>
      </c>
    </row>
    <row r="475" spans="1:4" ht="28.5">
      <c r="A475" s="78" t="s">
        <v>605</v>
      </c>
      <c r="B475" s="76">
        <v>2203</v>
      </c>
      <c r="C475" s="81">
        <v>0</v>
      </c>
      <c r="D475" s="82">
        <v>0</v>
      </c>
    </row>
    <row r="476" spans="1:4">
      <c r="A476" s="78" t="s">
        <v>606</v>
      </c>
      <c r="B476" s="76">
        <v>6165</v>
      </c>
      <c r="C476" s="81">
        <v>1.2507999999999999</v>
      </c>
      <c r="D476" s="82">
        <v>1.2507999999999999</v>
      </c>
    </row>
    <row r="477" spans="1:4">
      <c r="A477" s="78" t="s">
        <v>607</v>
      </c>
      <c r="B477" s="76">
        <v>62656</v>
      </c>
      <c r="C477" s="81">
        <v>0</v>
      </c>
      <c r="D477" s="82">
        <v>0</v>
      </c>
    </row>
    <row r="478" spans="1:4">
      <c r="A478" s="78" t="s">
        <v>608</v>
      </c>
      <c r="B478" s="76">
        <v>8069</v>
      </c>
      <c r="C478" s="81">
        <v>1.0912999999999999</v>
      </c>
      <c r="D478" s="82">
        <v>1.0912999999999999</v>
      </c>
    </row>
    <row r="479" spans="1:4" ht="28.5">
      <c r="A479" s="78" t="s">
        <v>609</v>
      </c>
      <c r="B479" s="76">
        <v>57563</v>
      </c>
      <c r="C479" s="81">
        <v>0</v>
      </c>
      <c r="D479" s="82">
        <v>0</v>
      </c>
    </row>
    <row r="480" spans="1:4" ht="28.5">
      <c r="A480" s="78" t="s">
        <v>610</v>
      </c>
      <c r="B480" s="76">
        <v>58383</v>
      </c>
      <c r="C480" s="81">
        <v>0</v>
      </c>
      <c r="D480" s="82">
        <v>0</v>
      </c>
    </row>
    <row r="481" spans="1:4">
      <c r="A481" s="78" t="s">
        <v>611</v>
      </c>
      <c r="B481" s="76">
        <v>3925</v>
      </c>
      <c r="C481" s="81">
        <v>0</v>
      </c>
      <c r="D481" s="82">
        <v>0</v>
      </c>
    </row>
    <row r="482" spans="1:4">
      <c r="A482" s="78" t="s">
        <v>612</v>
      </c>
      <c r="B482" s="76">
        <v>60445</v>
      </c>
      <c r="C482" s="81">
        <v>0</v>
      </c>
      <c r="D482" s="82">
        <v>0</v>
      </c>
    </row>
    <row r="483" spans="1:4" ht="42.75">
      <c r="A483" s="78" t="s">
        <v>613</v>
      </c>
      <c r="B483" s="76">
        <v>6481</v>
      </c>
      <c r="C483" s="81">
        <v>0.99509999999999998</v>
      </c>
      <c r="D483" s="82">
        <v>0.99509999999999998</v>
      </c>
    </row>
    <row r="484" spans="1:4">
      <c r="A484" s="78" t="s">
        <v>614</v>
      </c>
      <c r="B484" s="76">
        <v>65778</v>
      </c>
      <c r="C484" s="81">
        <v>0</v>
      </c>
      <c r="D484" s="82">
        <v>0</v>
      </c>
    </row>
    <row r="485" spans="1:4">
      <c r="A485" s="78" t="s">
        <v>615</v>
      </c>
      <c r="B485" s="76">
        <v>65103</v>
      </c>
      <c r="C485" s="81">
        <v>0</v>
      </c>
      <c r="D485" s="82">
        <v>0</v>
      </c>
    </row>
    <row r="486" spans="1:4" ht="28.5">
      <c r="A486" s="78" t="s">
        <v>616</v>
      </c>
      <c r="B486" s="76">
        <v>8066</v>
      </c>
      <c r="C486" s="81">
        <v>1.0786</v>
      </c>
      <c r="D486" s="82">
        <v>1.0786</v>
      </c>
    </row>
    <row r="487" spans="1:4">
      <c r="A487" s="78" t="s">
        <v>617</v>
      </c>
      <c r="B487" s="76">
        <v>3082</v>
      </c>
      <c r="C487" s="81">
        <v>0</v>
      </c>
      <c r="D487" s="82">
        <v>0</v>
      </c>
    </row>
    <row r="488" spans="1:4" ht="28.5">
      <c r="A488" s="78" t="s">
        <v>618</v>
      </c>
      <c r="B488" s="76">
        <v>57320</v>
      </c>
      <c r="C488" s="81">
        <v>0</v>
      </c>
      <c r="D488" s="82">
        <v>0</v>
      </c>
    </row>
    <row r="489" spans="1:4" ht="28.5">
      <c r="A489" s="78" t="s">
        <v>619</v>
      </c>
      <c r="B489" s="76">
        <v>57437</v>
      </c>
      <c r="C489" s="81">
        <v>0</v>
      </c>
      <c r="D489" s="82">
        <v>0</v>
      </c>
    </row>
    <row r="490" spans="1:4">
      <c r="A490" s="78" t="s">
        <v>620</v>
      </c>
      <c r="B490" s="76">
        <v>2188</v>
      </c>
      <c r="C490" s="81">
        <v>0</v>
      </c>
      <c r="D490" s="82">
        <v>0</v>
      </c>
    </row>
    <row r="491" spans="1:4">
      <c r="A491" s="78" t="s">
        <v>621</v>
      </c>
      <c r="B491" s="76">
        <v>6518</v>
      </c>
      <c r="C491" s="81">
        <v>0.81440000000000001</v>
      </c>
      <c r="D491" s="82">
        <v>0.81440000000000001</v>
      </c>
    </row>
    <row r="492" spans="1:4" ht="28.5">
      <c r="A492" s="78" t="s">
        <v>622</v>
      </c>
      <c r="B492" s="76">
        <v>56858</v>
      </c>
      <c r="C492" s="81">
        <v>0</v>
      </c>
      <c r="D492" s="82">
        <v>0</v>
      </c>
    </row>
    <row r="493" spans="1:4" ht="28.5">
      <c r="A493" s="78" t="s">
        <v>623</v>
      </c>
      <c r="B493" s="76">
        <v>55103</v>
      </c>
      <c r="C493" s="81">
        <v>0.39760000000000001</v>
      </c>
      <c r="D493" s="82">
        <v>0.39760000000000001</v>
      </c>
    </row>
    <row r="494" spans="1:4" ht="28.5">
      <c r="A494" s="78" t="s">
        <v>624</v>
      </c>
      <c r="B494" s="76">
        <v>55544</v>
      </c>
      <c r="C494" s="81">
        <v>0.54500000000000004</v>
      </c>
      <c r="D494" s="82">
        <v>0.54500000000000004</v>
      </c>
    </row>
    <row r="495" spans="1:4">
      <c r="A495" s="78" t="s">
        <v>625</v>
      </c>
      <c r="B495" s="76">
        <v>55871</v>
      </c>
      <c r="C495" s="81">
        <v>0</v>
      </c>
      <c r="D495" s="82">
        <v>0</v>
      </c>
    </row>
    <row r="496" spans="1:4">
      <c r="A496" s="78" t="s">
        <v>626</v>
      </c>
      <c r="B496" s="76">
        <v>56359</v>
      </c>
      <c r="C496" s="81">
        <v>0</v>
      </c>
      <c r="D496" s="82">
        <v>0</v>
      </c>
    </row>
    <row r="497" spans="1:4">
      <c r="A497" s="78" t="s">
        <v>627</v>
      </c>
      <c r="B497" s="76">
        <v>56468</v>
      </c>
      <c r="C497" s="81">
        <v>0</v>
      </c>
      <c r="D497" s="82">
        <v>0</v>
      </c>
    </row>
    <row r="498" spans="1:4">
      <c r="A498" s="78" t="s">
        <v>628</v>
      </c>
      <c r="B498" s="76">
        <v>56468</v>
      </c>
      <c r="C498" s="81">
        <v>0</v>
      </c>
      <c r="D498" s="82">
        <v>0</v>
      </c>
    </row>
    <row r="499" spans="1:4" ht="28.5">
      <c r="A499" s="78" t="s">
        <v>629</v>
      </c>
      <c r="B499" s="76">
        <v>147</v>
      </c>
      <c r="C499" s="81">
        <v>0.3856</v>
      </c>
      <c r="D499" s="82">
        <v>0.3856</v>
      </c>
    </row>
    <row r="500" spans="1:4">
      <c r="A500" s="78" t="s">
        <v>630</v>
      </c>
      <c r="B500" s="76">
        <v>61044</v>
      </c>
      <c r="C500" s="81">
        <v>0</v>
      </c>
      <c r="D500" s="82">
        <v>0</v>
      </c>
    </row>
    <row r="501" spans="1:4" ht="28.5">
      <c r="A501" s="78" t="s">
        <v>631</v>
      </c>
      <c r="B501" s="76">
        <v>58284</v>
      </c>
      <c r="C501" s="81">
        <v>0.53539999999999999</v>
      </c>
      <c r="D501" s="82">
        <v>0.53539999999999999</v>
      </c>
    </row>
    <row r="502" spans="1:4" ht="28.5">
      <c r="A502" s="78" t="s">
        <v>632</v>
      </c>
      <c r="B502" s="76">
        <v>6424</v>
      </c>
      <c r="C502" s="81">
        <v>0</v>
      </c>
      <c r="D502" s="82">
        <v>0</v>
      </c>
    </row>
    <row r="503" spans="1:4">
      <c r="A503" s="78" t="s">
        <v>633</v>
      </c>
      <c r="B503" s="76">
        <v>56237</v>
      </c>
      <c r="C503" s="81">
        <v>0.38700000000000001</v>
      </c>
      <c r="D503" s="82">
        <v>0.38700000000000001</v>
      </c>
    </row>
    <row r="504" spans="1:4">
      <c r="A504" s="78" t="s">
        <v>634</v>
      </c>
      <c r="B504" s="76">
        <v>55179</v>
      </c>
      <c r="C504" s="81">
        <v>0.38440000000000002</v>
      </c>
      <c r="D504" s="82">
        <v>0.38440000000000002</v>
      </c>
    </row>
    <row r="505" spans="1:4" ht="28.5">
      <c r="A505" s="78" t="s">
        <v>635</v>
      </c>
      <c r="B505" s="76">
        <v>57028</v>
      </c>
      <c r="C505" s="81">
        <v>0.373</v>
      </c>
      <c r="D505" s="82">
        <v>0.373</v>
      </c>
    </row>
    <row r="506" spans="1:4" ht="28.5">
      <c r="A506" s="78" t="s">
        <v>636</v>
      </c>
      <c r="B506" s="76">
        <v>10761</v>
      </c>
      <c r="C506" s="81">
        <v>0.47270000000000001</v>
      </c>
      <c r="D506" s="82">
        <v>0.47270000000000001</v>
      </c>
    </row>
    <row r="507" spans="1:4" ht="28.5">
      <c r="A507" s="78" t="s">
        <v>637</v>
      </c>
      <c r="B507" s="76">
        <v>56360</v>
      </c>
      <c r="C507" s="81">
        <v>0</v>
      </c>
      <c r="D507" s="82">
        <v>0</v>
      </c>
    </row>
    <row r="508" spans="1:4" ht="28.5">
      <c r="A508" s="78" t="s">
        <v>638</v>
      </c>
      <c r="B508" s="76">
        <v>57333</v>
      </c>
      <c r="C508" s="81">
        <v>0</v>
      </c>
      <c r="D508" s="82">
        <v>0</v>
      </c>
    </row>
    <row r="509" spans="1:4" ht="28.5">
      <c r="A509" s="78" t="s">
        <v>639</v>
      </c>
      <c r="B509" s="76">
        <v>6172</v>
      </c>
      <c r="C509" s="81">
        <v>0</v>
      </c>
      <c r="D509" s="82">
        <v>0</v>
      </c>
    </row>
    <row r="510" spans="1:4" ht="42.75">
      <c r="A510" s="78" t="s">
        <v>640</v>
      </c>
      <c r="B510" s="76">
        <v>57635</v>
      </c>
      <c r="C510" s="81">
        <v>0</v>
      </c>
      <c r="D510" s="82">
        <v>0</v>
      </c>
    </row>
    <row r="511" spans="1:4">
      <c r="A511" s="78" t="s">
        <v>641</v>
      </c>
      <c r="B511" s="76">
        <v>3866</v>
      </c>
      <c r="C511" s="81">
        <v>0</v>
      </c>
      <c r="D511" s="82">
        <v>0</v>
      </c>
    </row>
    <row r="512" spans="1:4" ht="28.5">
      <c r="A512" s="78" t="s">
        <v>642</v>
      </c>
      <c r="B512" s="76">
        <v>3926</v>
      </c>
      <c r="C512" s="81">
        <v>0</v>
      </c>
      <c r="D512" s="82">
        <v>0</v>
      </c>
    </row>
    <row r="513" spans="1:4">
      <c r="A513" s="78" t="s">
        <v>643</v>
      </c>
      <c r="B513" s="76">
        <v>10444</v>
      </c>
      <c r="C513" s="81">
        <v>0</v>
      </c>
      <c r="D513" s="82">
        <v>0</v>
      </c>
    </row>
    <row r="514" spans="1:4">
      <c r="A514" s="78" t="s">
        <v>644</v>
      </c>
      <c r="B514" s="76">
        <v>3867</v>
      </c>
      <c r="C514" s="81">
        <v>0</v>
      </c>
      <c r="D514" s="82">
        <v>0</v>
      </c>
    </row>
    <row r="515" spans="1:4" ht="28.5">
      <c r="A515" s="78" t="s">
        <v>645</v>
      </c>
      <c r="B515" s="76">
        <v>3083</v>
      </c>
      <c r="C515" s="81">
        <v>0</v>
      </c>
      <c r="D515" s="82">
        <v>0</v>
      </c>
    </row>
    <row r="516" spans="1:4" ht="28.5">
      <c r="A516" s="78" t="s">
        <v>646</v>
      </c>
      <c r="B516" s="76">
        <v>7967</v>
      </c>
      <c r="C516" s="81">
        <v>0.56210000000000004</v>
      </c>
      <c r="D516" s="82">
        <v>0.56210000000000004</v>
      </c>
    </row>
    <row r="517" spans="1:4">
      <c r="A517" s="78" t="s">
        <v>647</v>
      </c>
      <c r="B517" s="76">
        <v>6174</v>
      </c>
      <c r="C517" s="81">
        <v>0</v>
      </c>
      <c r="D517" s="82">
        <v>0</v>
      </c>
    </row>
    <row r="518" spans="1:4" ht="28.5">
      <c r="A518" s="78" t="s">
        <v>648</v>
      </c>
      <c r="B518" s="76">
        <v>3855</v>
      </c>
      <c r="C518" s="81">
        <v>0</v>
      </c>
      <c r="D518" s="82">
        <v>0</v>
      </c>
    </row>
    <row r="519" spans="1:4" ht="28.5">
      <c r="A519" s="78" t="s">
        <v>649</v>
      </c>
      <c r="B519" s="76">
        <v>6175</v>
      </c>
      <c r="C519" s="81">
        <v>0</v>
      </c>
      <c r="D519" s="82">
        <v>0</v>
      </c>
    </row>
    <row r="520" spans="1:4" ht="42.75">
      <c r="A520" s="78" t="s">
        <v>650</v>
      </c>
      <c r="B520" s="76">
        <v>3927</v>
      </c>
      <c r="C520" s="81">
        <v>0</v>
      </c>
      <c r="D520" s="82">
        <v>0</v>
      </c>
    </row>
    <row r="521" spans="1:4" ht="28.5">
      <c r="A521" s="78" t="s">
        <v>651</v>
      </c>
      <c r="B521" s="76">
        <v>57195</v>
      </c>
      <c r="C521" s="81">
        <v>0</v>
      </c>
      <c r="D521" s="82">
        <v>0</v>
      </c>
    </row>
    <row r="522" spans="1:4" ht="42.75">
      <c r="A522" s="78" t="s">
        <v>652</v>
      </c>
      <c r="B522" s="76">
        <v>10014</v>
      </c>
      <c r="C522" s="81">
        <v>0</v>
      </c>
      <c r="D522" s="82">
        <v>0</v>
      </c>
    </row>
    <row r="523" spans="1:4">
      <c r="A523" s="78" t="s">
        <v>653</v>
      </c>
      <c r="B523" s="76">
        <v>57324</v>
      </c>
      <c r="C523" s="81">
        <v>0</v>
      </c>
      <c r="D523" s="82">
        <v>0</v>
      </c>
    </row>
    <row r="524" spans="1:4" ht="28.5">
      <c r="A524" s="78" t="s">
        <v>654</v>
      </c>
      <c r="B524" s="76">
        <v>55343</v>
      </c>
      <c r="C524" s="81">
        <v>0.37759999999999999</v>
      </c>
      <c r="D524" s="82">
        <v>0.37759999999999999</v>
      </c>
    </row>
    <row r="525" spans="1:4">
      <c r="A525" s="78" t="s">
        <v>655</v>
      </c>
      <c r="B525" s="76">
        <v>61084</v>
      </c>
      <c r="C525" s="81">
        <v>0</v>
      </c>
      <c r="D525" s="82">
        <v>0</v>
      </c>
    </row>
    <row r="526" spans="1:4" ht="28.5">
      <c r="A526" s="78" t="s">
        <v>656</v>
      </c>
      <c r="B526" s="76">
        <v>59010</v>
      </c>
      <c r="C526" s="81">
        <v>0</v>
      </c>
      <c r="D526" s="82">
        <v>0</v>
      </c>
    </row>
    <row r="527" spans="1:4" ht="28.5">
      <c r="A527" s="78" t="s">
        <v>657</v>
      </c>
      <c r="B527" s="76">
        <v>56698</v>
      </c>
      <c r="C527" s="81">
        <v>0</v>
      </c>
      <c r="D527" s="82">
        <v>0</v>
      </c>
    </row>
    <row r="528" spans="1:4">
      <c r="A528" s="78" t="s">
        <v>658</v>
      </c>
      <c r="B528" s="76">
        <v>56466</v>
      </c>
      <c r="C528" s="81">
        <v>0</v>
      </c>
      <c r="D528" s="82">
        <v>0</v>
      </c>
    </row>
    <row r="529" spans="1:4">
      <c r="A529" s="78" t="s">
        <v>659</v>
      </c>
      <c r="B529" s="76">
        <v>56466</v>
      </c>
      <c r="C529" s="81">
        <v>0</v>
      </c>
      <c r="D529" s="82">
        <v>0</v>
      </c>
    </row>
    <row r="530" spans="1:4" ht="28.5">
      <c r="A530" s="78" t="s">
        <v>660</v>
      </c>
      <c r="B530" s="76">
        <v>57446</v>
      </c>
      <c r="C530" s="81">
        <v>0</v>
      </c>
      <c r="D530" s="82">
        <v>0</v>
      </c>
    </row>
    <row r="531" spans="1:4">
      <c r="A531" s="78" t="s">
        <v>661</v>
      </c>
      <c r="B531" s="76">
        <v>3084</v>
      </c>
      <c r="C531" s="81">
        <v>0</v>
      </c>
      <c r="D531" s="82">
        <v>0</v>
      </c>
    </row>
    <row r="532" spans="1:4">
      <c r="A532" s="78" t="s">
        <v>662</v>
      </c>
      <c r="B532" s="76">
        <v>3847</v>
      </c>
      <c r="C532" s="81">
        <v>0</v>
      </c>
      <c r="D532" s="82">
        <v>0</v>
      </c>
    </row>
    <row r="533" spans="1:4">
      <c r="A533" s="78" t="s">
        <v>663</v>
      </c>
      <c r="B533" s="76">
        <v>65963</v>
      </c>
      <c r="C533" s="81">
        <v>0</v>
      </c>
      <c r="D533" s="82">
        <v>0</v>
      </c>
    </row>
    <row r="534" spans="1:4" ht="42.75">
      <c r="A534" s="78" t="s">
        <v>664</v>
      </c>
      <c r="B534" s="76">
        <v>58557</v>
      </c>
      <c r="C534" s="81">
        <v>0.3967</v>
      </c>
      <c r="D534" s="82">
        <v>0.3967</v>
      </c>
    </row>
    <row r="535" spans="1:4" ht="42.75">
      <c r="A535" s="78" t="s">
        <v>665</v>
      </c>
      <c r="B535" s="76">
        <v>55481</v>
      </c>
      <c r="C535" s="81">
        <v>0.39400000000000002</v>
      </c>
      <c r="D535" s="82">
        <v>0.39400000000000002</v>
      </c>
    </row>
    <row r="536" spans="1:4">
      <c r="A536" s="78" t="s">
        <v>666</v>
      </c>
      <c r="B536" s="76">
        <v>57707</v>
      </c>
      <c r="C536" s="81">
        <v>0</v>
      </c>
      <c r="D536" s="82">
        <v>0</v>
      </c>
    </row>
    <row r="537" spans="1:4">
      <c r="A537" s="78" t="s">
        <v>667</v>
      </c>
      <c r="B537" s="76">
        <v>60307</v>
      </c>
      <c r="C537" s="81">
        <v>0</v>
      </c>
      <c r="D537" s="82">
        <v>0</v>
      </c>
    </row>
    <row r="538" spans="1:4" ht="57">
      <c r="A538" s="78" t="s">
        <v>668</v>
      </c>
      <c r="B538" s="76">
        <v>6200</v>
      </c>
      <c r="C538" s="81">
        <v>0</v>
      </c>
      <c r="D538" s="82">
        <v>0</v>
      </c>
    </row>
    <row r="539" spans="1:4" ht="57">
      <c r="A539" s="78" t="s">
        <v>669</v>
      </c>
      <c r="B539" s="76">
        <v>3883</v>
      </c>
      <c r="C539" s="81">
        <v>0</v>
      </c>
      <c r="D539" s="82">
        <v>0</v>
      </c>
    </row>
    <row r="540" spans="1:4" ht="42.75">
      <c r="A540" s="78" t="s">
        <v>670</v>
      </c>
      <c r="B540" s="76">
        <v>3886</v>
      </c>
      <c r="C540" s="81">
        <v>0</v>
      </c>
      <c r="D540" s="82">
        <v>0</v>
      </c>
    </row>
    <row r="541" spans="1:4" ht="42.75">
      <c r="A541" s="78" t="s">
        <v>671</v>
      </c>
      <c r="B541" s="76">
        <v>50917</v>
      </c>
      <c r="C541" s="81">
        <v>0</v>
      </c>
      <c r="D541" s="82">
        <v>0</v>
      </c>
    </row>
    <row r="542" spans="1:4">
      <c r="A542" s="78" t="s">
        <v>672</v>
      </c>
      <c r="B542" s="76">
        <v>57079</v>
      </c>
      <c r="C542" s="81">
        <v>0</v>
      </c>
      <c r="D542" s="82">
        <v>0</v>
      </c>
    </row>
    <row r="543" spans="1:4">
      <c r="A543" s="78" t="s">
        <v>673</v>
      </c>
      <c r="B543" s="76">
        <v>57107</v>
      </c>
      <c r="C543" s="81">
        <v>0</v>
      </c>
      <c r="D543" s="82">
        <v>0</v>
      </c>
    </row>
    <row r="544" spans="1:4">
      <c r="A544" s="78" t="s">
        <v>674</v>
      </c>
      <c r="B544" s="76">
        <v>6398</v>
      </c>
      <c r="C544" s="81">
        <v>0</v>
      </c>
      <c r="D544" s="82">
        <v>0</v>
      </c>
    </row>
    <row r="545" spans="1:4" ht="28.5">
      <c r="A545" s="78" t="s">
        <v>675</v>
      </c>
      <c r="B545" s="76">
        <v>55700</v>
      </c>
      <c r="C545" s="81">
        <v>0.40150000000000002</v>
      </c>
      <c r="D545" s="82">
        <v>0.40150000000000002</v>
      </c>
    </row>
    <row r="546" spans="1:4" ht="28.5">
      <c r="A546" s="78" t="s">
        <v>676</v>
      </c>
      <c r="B546" s="76">
        <v>57859</v>
      </c>
      <c r="C546" s="81">
        <v>0</v>
      </c>
      <c r="D546" s="82">
        <v>0</v>
      </c>
    </row>
    <row r="547" spans="1:4" ht="28.5">
      <c r="A547" s="78" t="s">
        <v>677</v>
      </c>
      <c r="B547" s="76">
        <v>63114</v>
      </c>
      <c r="C547" s="81">
        <v>0</v>
      </c>
      <c r="D547" s="82">
        <v>0</v>
      </c>
    </row>
    <row r="548" spans="1:4" ht="28.5">
      <c r="A548" s="78" t="s">
        <v>678</v>
      </c>
      <c r="B548" s="76">
        <v>9095</v>
      </c>
      <c r="C548" s="81">
        <v>0</v>
      </c>
      <c r="D548" s="82">
        <v>0</v>
      </c>
    </row>
    <row r="549" spans="1:4">
      <c r="A549" s="78" t="s">
        <v>679</v>
      </c>
      <c r="B549" s="76">
        <v>58099</v>
      </c>
      <c r="C549" s="81">
        <v>0</v>
      </c>
      <c r="D549" s="82">
        <v>0</v>
      </c>
    </row>
    <row r="550" spans="1:4" ht="28.5">
      <c r="A550" s="78" t="s">
        <v>680</v>
      </c>
      <c r="B550" s="76">
        <v>148</v>
      </c>
      <c r="C550" s="81">
        <v>0</v>
      </c>
      <c r="D550" s="82">
        <v>0</v>
      </c>
    </row>
    <row r="551" spans="1:4">
      <c r="A551" s="78" t="s">
        <v>681</v>
      </c>
      <c r="B551" s="76">
        <v>60009</v>
      </c>
      <c r="C551" s="81">
        <v>0</v>
      </c>
      <c r="D551" s="82">
        <v>0</v>
      </c>
    </row>
    <row r="552" spans="1:4" ht="42.75">
      <c r="A552" s="78" t="s">
        <v>682</v>
      </c>
      <c r="B552" s="76">
        <v>455</v>
      </c>
      <c r="C552" s="81">
        <v>0</v>
      </c>
      <c r="D552" s="82">
        <v>0</v>
      </c>
    </row>
    <row r="553" spans="1:4">
      <c r="A553" s="78" t="s">
        <v>683</v>
      </c>
      <c r="B553" s="76">
        <v>4162</v>
      </c>
      <c r="C553" s="81">
        <v>0.9577</v>
      </c>
      <c r="D553" s="82">
        <v>0.9577</v>
      </c>
    </row>
    <row r="554" spans="1:4" ht="28.5">
      <c r="A554" s="78" t="s">
        <v>684</v>
      </c>
      <c r="B554" s="76">
        <v>58022</v>
      </c>
      <c r="C554" s="81">
        <v>0</v>
      </c>
      <c r="D554" s="82">
        <v>0</v>
      </c>
    </row>
    <row r="555" spans="1:4" ht="28.5">
      <c r="A555" s="78" t="s">
        <v>685</v>
      </c>
      <c r="B555" s="76">
        <v>56177</v>
      </c>
      <c r="C555" s="81">
        <v>0.45279999999999998</v>
      </c>
      <c r="D555" s="82">
        <v>0.45279999999999998</v>
      </c>
    </row>
    <row r="556" spans="1:4" ht="42.75">
      <c r="A556" s="78" t="s">
        <v>686</v>
      </c>
      <c r="B556" s="76">
        <v>54350</v>
      </c>
      <c r="C556" s="81">
        <v>0.40410000000000001</v>
      </c>
      <c r="D556" s="82">
        <v>0.40410000000000001</v>
      </c>
    </row>
    <row r="557" spans="1:4" ht="42.75">
      <c r="A557" s="78" t="s">
        <v>687</v>
      </c>
      <c r="B557" s="76">
        <v>54349</v>
      </c>
      <c r="C557" s="81">
        <v>0.54220000000000002</v>
      </c>
      <c r="D557" s="82">
        <v>0.54220000000000002</v>
      </c>
    </row>
    <row r="558" spans="1:4" ht="28.5">
      <c r="A558" s="78" t="s">
        <v>688</v>
      </c>
      <c r="B558" s="76">
        <v>56097</v>
      </c>
      <c r="C558" s="81">
        <v>0</v>
      </c>
      <c r="D558" s="82">
        <v>0</v>
      </c>
    </row>
    <row r="559" spans="1:4">
      <c r="A559" s="78" t="s">
        <v>689</v>
      </c>
      <c r="B559" s="76">
        <v>7936</v>
      </c>
      <c r="C559" s="81">
        <v>0</v>
      </c>
      <c r="D559" s="82">
        <v>0</v>
      </c>
    </row>
    <row r="560" spans="1:4" ht="28.5">
      <c r="A560" s="78" t="s">
        <v>690</v>
      </c>
      <c r="B560" s="76">
        <v>3869</v>
      </c>
      <c r="C560" s="81">
        <v>0</v>
      </c>
      <c r="D560" s="82">
        <v>0</v>
      </c>
    </row>
    <row r="561" spans="1:4" ht="28.5">
      <c r="A561" s="78" t="s">
        <v>691</v>
      </c>
      <c r="B561" s="76">
        <v>6088</v>
      </c>
      <c r="C561" s="81">
        <v>1.1579999999999999</v>
      </c>
      <c r="D561" s="82">
        <v>1.1579999999999999</v>
      </c>
    </row>
    <row r="562" spans="1:4" ht="28.5">
      <c r="A562" s="78" t="s">
        <v>692</v>
      </c>
      <c r="B562" s="76">
        <v>2199</v>
      </c>
      <c r="C562" s="81">
        <v>0</v>
      </c>
      <c r="D562" s="82">
        <v>0</v>
      </c>
    </row>
    <row r="563" spans="1:4">
      <c r="A563" s="78" t="s">
        <v>693</v>
      </c>
      <c r="B563" s="76">
        <v>116</v>
      </c>
      <c r="C563" s="81">
        <v>0.51060000000000005</v>
      </c>
      <c r="D563" s="82">
        <v>0.51060000000000005</v>
      </c>
    </row>
    <row r="564" spans="1:4" ht="28.5">
      <c r="A564" s="78" t="s">
        <v>694</v>
      </c>
      <c r="B564" s="76">
        <v>60010</v>
      </c>
      <c r="C564" s="81">
        <v>0</v>
      </c>
      <c r="D564" s="82">
        <v>0</v>
      </c>
    </row>
    <row r="565" spans="1:4" ht="28.5">
      <c r="A565" s="78" t="s">
        <v>695</v>
      </c>
      <c r="B565" s="76">
        <v>3014</v>
      </c>
      <c r="C565" s="81">
        <v>0</v>
      </c>
      <c r="D565" s="82">
        <v>0</v>
      </c>
    </row>
    <row r="566" spans="1:4" ht="28.5">
      <c r="A566" s="78" t="s">
        <v>696</v>
      </c>
      <c r="B566" s="76">
        <v>63441</v>
      </c>
      <c r="C566" s="81">
        <v>0</v>
      </c>
      <c r="D566" s="82">
        <v>0</v>
      </c>
    </row>
    <row r="567" spans="1:4">
      <c r="A567" s="78" t="s">
        <v>697</v>
      </c>
      <c r="B567" s="76">
        <v>850</v>
      </c>
      <c r="C567" s="81">
        <v>0</v>
      </c>
      <c r="D567" s="82">
        <v>0</v>
      </c>
    </row>
    <row r="568" spans="1:4">
      <c r="A568" s="78" t="s">
        <v>698</v>
      </c>
      <c r="B568" s="76">
        <v>62495</v>
      </c>
      <c r="C568" s="81">
        <v>0</v>
      </c>
      <c r="D568" s="82">
        <v>0</v>
      </c>
    </row>
    <row r="569" spans="1:4" ht="28.5">
      <c r="A569" s="78" t="s">
        <v>699</v>
      </c>
      <c r="B569" s="76">
        <v>57562</v>
      </c>
      <c r="C569" s="81">
        <v>0</v>
      </c>
      <c r="D569" s="82">
        <v>0</v>
      </c>
    </row>
    <row r="570" spans="1:4">
      <c r="A570" s="78" t="s">
        <v>700</v>
      </c>
      <c r="B570" s="76">
        <v>57530</v>
      </c>
      <c r="C570" s="81">
        <v>0</v>
      </c>
      <c r="D570" s="82">
        <v>0</v>
      </c>
    </row>
    <row r="571" spans="1:4">
      <c r="A571" s="78" t="s">
        <v>701</v>
      </c>
      <c r="B571" s="76">
        <v>64872</v>
      </c>
      <c r="C571" s="81">
        <v>0</v>
      </c>
      <c r="D571" s="82">
        <v>0</v>
      </c>
    </row>
    <row r="572" spans="1:4" ht="28.5">
      <c r="A572" s="78" t="s">
        <v>702</v>
      </c>
      <c r="B572" s="76">
        <v>447</v>
      </c>
      <c r="C572" s="81">
        <v>0</v>
      </c>
      <c r="D572" s="82">
        <v>0</v>
      </c>
    </row>
    <row r="573" spans="1:4">
      <c r="A573" s="78" t="s">
        <v>703</v>
      </c>
      <c r="B573" s="76">
        <v>58319</v>
      </c>
      <c r="C573" s="81">
        <v>0</v>
      </c>
      <c r="D573" s="82">
        <v>0</v>
      </c>
    </row>
    <row r="574" spans="1:4" ht="28.5">
      <c r="A574" s="78" t="s">
        <v>704</v>
      </c>
      <c r="B574" s="76">
        <v>56789</v>
      </c>
      <c r="C574" s="81">
        <v>0</v>
      </c>
      <c r="D574" s="82">
        <v>0</v>
      </c>
    </row>
    <row r="575" spans="1:4" ht="28.5">
      <c r="A575" s="78" t="s">
        <v>705</v>
      </c>
      <c r="B575" s="76">
        <v>3048</v>
      </c>
      <c r="C575" s="81">
        <v>0</v>
      </c>
      <c r="D575" s="82">
        <v>0</v>
      </c>
    </row>
    <row r="576" spans="1:4" ht="28.5">
      <c r="A576" s="78" t="s">
        <v>706</v>
      </c>
      <c r="B576" s="76">
        <v>58155</v>
      </c>
      <c r="C576" s="81">
        <v>0</v>
      </c>
      <c r="D576" s="82">
        <v>0</v>
      </c>
    </row>
    <row r="577" spans="1:4">
      <c r="A577" s="78" t="s">
        <v>707</v>
      </c>
      <c r="B577" s="76">
        <v>64212</v>
      </c>
      <c r="C577" s="81">
        <v>0</v>
      </c>
      <c r="D577" s="82">
        <v>0</v>
      </c>
    </row>
    <row r="578" spans="1:4">
      <c r="A578" s="78" t="s">
        <v>708</v>
      </c>
      <c r="B578" s="76">
        <v>56227</v>
      </c>
      <c r="C578" s="81">
        <v>0.36609999999999998</v>
      </c>
      <c r="D578" s="82">
        <v>0.36609999999999998</v>
      </c>
    </row>
    <row r="579" spans="1:4">
      <c r="A579" s="78" t="s">
        <v>709</v>
      </c>
      <c r="B579" s="76">
        <v>58266</v>
      </c>
      <c r="C579" s="81">
        <v>0.4531</v>
      </c>
      <c r="D579" s="82">
        <v>0.4531</v>
      </c>
    </row>
    <row r="580" spans="1:4">
      <c r="A580" s="78" t="s">
        <v>710</v>
      </c>
      <c r="B580" s="76">
        <v>835</v>
      </c>
      <c r="C580" s="81">
        <v>0</v>
      </c>
      <c r="D580" s="82">
        <v>0</v>
      </c>
    </row>
    <row r="581" spans="1:4" ht="28.5">
      <c r="A581" s="78" t="s">
        <v>711</v>
      </c>
      <c r="B581" s="76">
        <v>56697</v>
      </c>
      <c r="C581" s="81">
        <v>0</v>
      </c>
      <c r="D581" s="82">
        <v>0</v>
      </c>
    </row>
    <row r="582" spans="1:4" ht="57">
      <c r="A582" s="78" t="s">
        <v>712</v>
      </c>
      <c r="B582" s="76">
        <v>7113</v>
      </c>
      <c r="C582" s="81">
        <v>0</v>
      </c>
      <c r="D582" s="82">
        <v>0</v>
      </c>
    </row>
    <row r="583" spans="1:4" ht="28.5">
      <c r="A583" s="78" t="s">
        <v>713</v>
      </c>
      <c r="B583" s="76">
        <v>56228</v>
      </c>
      <c r="C583" s="81">
        <v>0</v>
      </c>
      <c r="D583" s="82">
        <v>0</v>
      </c>
    </row>
    <row r="584" spans="1:4">
      <c r="A584" s="78" t="s">
        <v>714</v>
      </c>
      <c r="B584" s="76">
        <v>58147</v>
      </c>
      <c r="C584" s="81">
        <v>0</v>
      </c>
      <c r="D584" s="82">
        <v>0</v>
      </c>
    </row>
    <row r="585" spans="1:4" ht="42.75">
      <c r="A585" s="78" t="s">
        <v>715</v>
      </c>
      <c r="B585" s="76">
        <v>56317</v>
      </c>
      <c r="C585" s="81">
        <v>0</v>
      </c>
      <c r="D585" s="82">
        <v>0</v>
      </c>
    </row>
    <row r="586" spans="1:4">
      <c r="A586" s="78" t="s">
        <v>716</v>
      </c>
      <c r="B586" s="76">
        <v>7456</v>
      </c>
      <c r="C586" s="81">
        <v>0.55969999999999998</v>
      </c>
      <c r="D586" s="82">
        <v>0.55969999999999998</v>
      </c>
    </row>
    <row r="587" spans="1:4" ht="28.5">
      <c r="A587" s="78" t="s">
        <v>717</v>
      </c>
      <c r="B587" s="76">
        <v>62936</v>
      </c>
      <c r="C587" s="81">
        <v>0</v>
      </c>
      <c r="D587" s="82">
        <v>0</v>
      </c>
    </row>
    <row r="588" spans="1:4">
      <c r="A588" s="78" t="s">
        <v>718</v>
      </c>
      <c r="B588" s="76">
        <v>56694</v>
      </c>
      <c r="C588" s="81">
        <v>0</v>
      </c>
      <c r="D588" s="82">
        <v>0</v>
      </c>
    </row>
    <row r="589" spans="1:4">
      <c r="A589" s="78" t="s">
        <v>719</v>
      </c>
      <c r="B589" s="76">
        <v>57795</v>
      </c>
      <c r="C589" s="81">
        <v>0</v>
      </c>
      <c r="D589" s="82">
        <v>0</v>
      </c>
    </row>
    <row r="590" spans="1:4">
      <c r="A590" s="78" t="s">
        <v>720</v>
      </c>
      <c r="B590" s="76">
        <v>57790</v>
      </c>
      <c r="C590" s="81">
        <v>0</v>
      </c>
      <c r="D590" s="82">
        <v>0</v>
      </c>
    </row>
    <row r="591" spans="1:4" ht="28.5">
      <c r="A591" s="78" t="s">
        <v>721</v>
      </c>
      <c r="B591" s="76">
        <v>58501</v>
      </c>
      <c r="C591" s="81">
        <v>0</v>
      </c>
      <c r="D591" s="82">
        <v>0</v>
      </c>
    </row>
    <row r="592" spans="1:4" ht="28.5">
      <c r="A592" s="78" t="s">
        <v>722</v>
      </c>
      <c r="B592" s="76">
        <v>62015</v>
      </c>
      <c r="C592" s="81">
        <v>0</v>
      </c>
      <c r="D592" s="82">
        <v>0</v>
      </c>
    </row>
    <row r="593" spans="1:4">
      <c r="A593" s="78" t="s">
        <v>723</v>
      </c>
      <c r="B593" s="76">
        <v>63981</v>
      </c>
      <c r="C593" s="81">
        <v>0</v>
      </c>
      <c r="D593" s="82">
        <v>0</v>
      </c>
    </row>
    <row r="594" spans="1:4" ht="42.75">
      <c r="A594" s="78" t="s">
        <v>724</v>
      </c>
      <c r="B594" s="76">
        <v>55455</v>
      </c>
      <c r="C594" s="81">
        <v>0.37709999999999999</v>
      </c>
      <c r="D594" s="82">
        <v>0.37709999999999999</v>
      </c>
    </row>
    <row r="595" spans="1:4">
      <c r="A595" s="78" t="s">
        <v>725</v>
      </c>
      <c r="B595" s="76">
        <v>57357</v>
      </c>
      <c r="C595" s="81">
        <v>0</v>
      </c>
      <c r="D595" s="82">
        <v>0</v>
      </c>
    </row>
    <row r="596" spans="1:4">
      <c r="A596" s="78" t="s">
        <v>726</v>
      </c>
      <c r="B596" s="76">
        <v>60467</v>
      </c>
      <c r="C596" s="81">
        <v>0</v>
      </c>
      <c r="D596" s="82">
        <v>0</v>
      </c>
    </row>
    <row r="597" spans="1:4" ht="28.5">
      <c r="A597" s="78" t="s">
        <v>727</v>
      </c>
      <c r="B597" s="76">
        <v>2450</v>
      </c>
      <c r="C597" s="81">
        <v>0.68810000000000004</v>
      </c>
      <c r="D597" s="82">
        <v>0.68810000000000004</v>
      </c>
    </row>
    <row r="598" spans="1:4" ht="42.75">
      <c r="A598" s="78" t="s">
        <v>728</v>
      </c>
      <c r="B598" s="76">
        <v>56321</v>
      </c>
      <c r="C598" s="81">
        <v>0</v>
      </c>
      <c r="D598" s="82">
        <v>0</v>
      </c>
    </row>
    <row r="599" spans="1:4" ht="28.5">
      <c r="A599" s="78" t="s">
        <v>729</v>
      </c>
      <c r="B599" s="76">
        <v>57995</v>
      </c>
      <c r="C599" s="81">
        <v>0</v>
      </c>
      <c r="D599" s="82">
        <v>0</v>
      </c>
    </row>
    <row r="600" spans="1:4" ht="28.5">
      <c r="A600" s="78" t="s">
        <v>730</v>
      </c>
      <c r="B600" s="76">
        <v>55039</v>
      </c>
      <c r="C600" s="81">
        <v>0.62529999999999997</v>
      </c>
      <c r="D600" s="82">
        <v>0.62529999999999997</v>
      </c>
    </row>
    <row r="601" spans="1:4" ht="28.5">
      <c r="A601" s="78" t="s">
        <v>731</v>
      </c>
      <c r="B601" s="76">
        <v>10881</v>
      </c>
      <c r="C601" s="81">
        <v>0</v>
      </c>
      <c r="D601" s="82">
        <v>0</v>
      </c>
    </row>
    <row r="602" spans="1:4">
      <c r="A602" s="78" t="s">
        <v>732</v>
      </c>
      <c r="B602" s="76">
        <v>55740</v>
      </c>
      <c r="C602" s="81">
        <v>0</v>
      </c>
      <c r="D602" s="82">
        <v>0</v>
      </c>
    </row>
    <row r="603" spans="1:4" ht="28.5">
      <c r="A603" s="78" t="s">
        <v>733</v>
      </c>
      <c r="B603" s="76">
        <v>57766</v>
      </c>
      <c r="C603" s="81">
        <v>0</v>
      </c>
      <c r="D603" s="82">
        <v>0</v>
      </c>
    </row>
    <row r="604" spans="1:4" ht="28.5">
      <c r="A604" s="78" t="s">
        <v>734</v>
      </c>
      <c r="B604" s="76">
        <v>50228</v>
      </c>
      <c r="C604" s="81">
        <v>0</v>
      </c>
      <c r="D604" s="82">
        <v>0</v>
      </c>
    </row>
    <row r="605" spans="1:4">
      <c r="A605" s="78" t="s">
        <v>735</v>
      </c>
      <c r="B605" s="76">
        <v>56842</v>
      </c>
      <c r="C605" s="81">
        <v>0</v>
      </c>
      <c r="D605" s="82">
        <v>0</v>
      </c>
    </row>
    <row r="606" spans="1:4">
      <c r="A606" s="78" t="s">
        <v>736</v>
      </c>
      <c r="B606" s="76">
        <v>149</v>
      </c>
      <c r="C606" s="81">
        <v>0</v>
      </c>
      <c r="D606" s="82">
        <v>0</v>
      </c>
    </row>
    <row r="607" spans="1:4">
      <c r="A607" s="78" t="s">
        <v>737</v>
      </c>
      <c r="B607" s="76">
        <v>6202</v>
      </c>
      <c r="C607" s="81">
        <v>0</v>
      </c>
      <c r="D607" s="82">
        <v>0</v>
      </c>
    </row>
    <row r="608" spans="1:4">
      <c r="A608" s="78" t="s">
        <v>738</v>
      </c>
      <c r="B608" s="76">
        <v>6407</v>
      </c>
      <c r="C608" s="81">
        <v>0</v>
      </c>
      <c r="D608" s="82">
        <v>0</v>
      </c>
    </row>
    <row r="609" spans="1:4" ht="28.5">
      <c r="A609" s="78" t="s">
        <v>739</v>
      </c>
      <c r="B609" s="76">
        <v>58213</v>
      </c>
      <c r="C609" s="81">
        <v>0</v>
      </c>
      <c r="D609" s="82">
        <v>0</v>
      </c>
    </row>
    <row r="610" spans="1:4">
      <c r="A610" s="78" t="s">
        <v>740</v>
      </c>
      <c r="B610" s="76">
        <v>118</v>
      </c>
      <c r="C610" s="81">
        <v>0.72560000000000002</v>
      </c>
      <c r="D610" s="82">
        <v>0.72560000000000002</v>
      </c>
    </row>
    <row r="611" spans="1:4" ht="28.5">
      <c r="A611" s="78" t="s">
        <v>741</v>
      </c>
      <c r="B611" s="76">
        <v>8068</v>
      </c>
      <c r="C611" s="81">
        <v>0.40889999999999999</v>
      </c>
      <c r="D611" s="82">
        <v>0.40889999999999999</v>
      </c>
    </row>
    <row r="612" spans="1:4" ht="28.5">
      <c r="A612" s="78" t="s">
        <v>742</v>
      </c>
      <c r="B612" s="76">
        <v>56843</v>
      </c>
      <c r="C612" s="81">
        <v>0</v>
      </c>
      <c r="D612" s="82">
        <v>0</v>
      </c>
    </row>
    <row r="613" spans="1:4" ht="28.5">
      <c r="A613" s="78" t="s">
        <v>743</v>
      </c>
      <c r="B613" s="76">
        <v>56362</v>
      </c>
      <c r="C613" s="81">
        <v>0</v>
      </c>
      <c r="D613" s="82">
        <v>0</v>
      </c>
    </row>
    <row r="614" spans="1:4" ht="28.5">
      <c r="A614" s="78" t="s">
        <v>744</v>
      </c>
      <c r="B614" s="76">
        <v>58644</v>
      </c>
      <c r="C614" s="81">
        <v>0</v>
      </c>
      <c r="D614" s="82">
        <v>0</v>
      </c>
    </row>
    <row r="615" spans="1:4">
      <c r="A615" s="78" t="s">
        <v>745</v>
      </c>
      <c r="B615" s="76">
        <v>55841</v>
      </c>
      <c r="C615" s="81">
        <v>0.39429999999999998</v>
      </c>
      <c r="D615" s="82">
        <v>0.39429999999999998</v>
      </c>
    </row>
    <row r="616" spans="1:4">
      <c r="A616" s="78" t="s">
        <v>746</v>
      </c>
      <c r="B616" s="76">
        <v>60748</v>
      </c>
      <c r="C616" s="81">
        <v>0</v>
      </c>
      <c r="D616" s="82">
        <v>0</v>
      </c>
    </row>
    <row r="617" spans="1:4" ht="28.5">
      <c r="A617" s="78" t="s">
        <v>747</v>
      </c>
      <c r="B617" s="76">
        <v>63205</v>
      </c>
      <c r="C617" s="81">
        <v>0</v>
      </c>
      <c r="D617" s="82">
        <v>0</v>
      </c>
    </row>
    <row r="618" spans="1:4">
      <c r="A618" s="78" t="s">
        <v>748</v>
      </c>
      <c r="B618" s="76">
        <v>50536</v>
      </c>
      <c r="C618" s="81">
        <v>0</v>
      </c>
      <c r="D618" s="82">
        <v>0</v>
      </c>
    </row>
    <row r="619" spans="1:4">
      <c r="A619" s="78" t="s">
        <v>749</v>
      </c>
      <c r="B619" s="76">
        <v>54249</v>
      </c>
      <c r="C619" s="81">
        <v>0</v>
      </c>
      <c r="D619" s="82">
        <v>0</v>
      </c>
    </row>
    <row r="620" spans="1:4">
      <c r="A620" s="78" t="s">
        <v>750</v>
      </c>
      <c r="B620" s="76">
        <v>56812</v>
      </c>
      <c r="C620" s="81">
        <v>0</v>
      </c>
      <c r="D620" s="82">
        <v>0</v>
      </c>
    </row>
    <row r="621" spans="1:4" ht="28.5">
      <c r="A621" s="78" t="s">
        <v>751</v>
      </c>
      <c r="B621" s="76">
        <v>55177</v>
      </c>
      <c r="C621" s="81">
        <v>0.41470000000000001</v>
      </c>
      <c r="D621" s="82">
        <v>0.41470000000000001</v>
      </c>
    </row>
    <row r="622" spans="1:4" ht="28.5">
      <c r="A622" s="78" t="s">
        <v>752</v>
      </c>
      <c r="B622" s="76">
        <v>8223</v>
      </c>
      <c r="C622" s="81">
        <v>1.0427999999999999</v>
      </c>
      <c r="D622" s="82">
        <v>1.0427999999999999</v>
      </c>
    </row>
    <row r="623" spans="1:4">
      <c r="A623" s="78" t="s">
        <v>753</v>
      </c>
      <c r="B623" s="76">
        <v>7066</v>
      </c>
      <c r="C623" s="81">
        <v>0</v>
      </c>
      <c r="D623" s="82">
        <v>0</v>
      </c>
    </row>
    <row r="624" spans="1:4" ht="28.5">
      <c r="A624" s="78" t="s">
        <v>754</v>
      </c>
      <c r="B624" s="76">
        <v>65773</v>
      </c>
      <c r="C624" s="81">
        <v>0</v>
      </c>
      <c r="D624" s="82">
        <v>0</v>
      </c>
    </row>
    <row r="625" spans="1:4">
      <c r="A625" s="78" t="s">
        <v>755</v>
      </c>
      <c r="B625" s="76">
        <v>57096</v>
      </c>
      <c r="C625" s="81">
        <v>0</v>
      </c>
      <c r="D625" s="82">
        <v>0</v>
      </c>
    </row>
    <row r="626" spans="1:4" ht="28.5">
      <c r="A626" s="78" t="s">
        <v>756</v>
      </c>
      <c r="B626" s="76">
        <v>50654</v>
      </c>
      <c r="C626" s="81">
        <v>0</v>
      </c>
      <c r="D626" s="82">
        <v>0</v>
      </c>
    </row>
    <row r="627" spans="1:4" ht="28.5">
      <c r="A627" s="78" t="s">
        <v>757</v>
      </c>
      <c r="B627" s="76">
        <v>54666</v>
      </c>
      <c r="C627" s="81">
        <v>0</v>
      </c>
      <c r="D627" s="82">
        <v>0</v>
      </c>
    </row>
    <row r="628" spans="1:4" ht="28.5">
      <c r="A628" s="78" t="s">
        <v>758</v>
      </c>
      <c r="B628" s="76">
        <v>150</v>
      </c>
      <c r="C628" s="81">
        <v>0</v>
      </c>
      <c r="D628" s="82">
        <v>0</v>
      </c>
    </row>
    <row r="629" spans="1:4" ht="28.5">
      <c r="A629" s="78" t="s">
        <v>759</v>
      </c>
      <c r="B629" s="76">
        <v>54476</v>
      </c>
      <c r="C629" s="81">
        <v>0.4481</v>
      </c>
      <c r="D629" s="82">
        <v>0.4481</v>
      </c>
    </row>
    <row r="630" spans="1:4" ht="28.5">
      <c r="A630" s="78" t="s">
        <v>760</v>
      </c>
      <c r="B630" s="76">
        <v>56695</v>
      </c>
      <c r="C630" s="81">
        <v>0</v>
      </c>
      <c r="D630" s="82">
        <v>0</v>
      </c>
    </row>
    <row r="631" spans="1:4" ht="28.5">
      <c r="A631" s="78" t="s">
        <v>761</v>
      </c>
      <c r="B631" s="76">
        <v>54854</v>
      </c>
      <c r="C631" s="81">
        <v>0.72570000000000001</v>
      </c>
      <c r="D631" s="82">
        <v>0.72570000000000001</v>
      </c>
    </row>
    <row r="632" spans="1:4" ht="28.5">
      <c r="A632" s="78" t="s">
        <v>762</v>
      </c>
      <c r="B632" s="76">
        <v>60827</v>
      </c>
      <c r="C632" s="81">
        <v>0</v>
      </c>
      <c r="D632" s="82">
        <v>0</v>
      </c>
    </row>
    <row r="633" spans="1:4" ht="28.5">
      <c r="A633" s="78" t="s">
        <v>763</v>
      </c>
      <c r="B633" s="76">
        <v>67285</v>
      </c>
      <c r="C633" s="81">
        <v>0</v>
      </c>
      <c r="D633" s="82">
        <v>0</v>
      </c>
    </row>
    <row r="634" spans="1:4">
      <c r="A634" s="78" t="s">
        <v>764</v>
      </c>
      <c r="B634" s="76">
        <v>55522</v>
      </c>
      <c r="C634" s="81">
        <v>0.55089999999999995</v>
      </c>
      <c r="D634" s="82">
        <v>0.55089999999999995</v>
      </c>
    </row>
    <row r="635" spans="1:4" ht="28.5">
      <c r="A635" s="78" t="s">
        <v>765</v>
      </c>
      <c r="B635" s="76">
        <v>50951</v>
      </c>
      <c r="C635" s="81">
        <v>1.2670999999999999</v>
      </c>
      <c r="D635" s="82">
        <v>1.2670999999999999</v>
      </c>
    </row>
    <row r="636" spans="1:4" ht="28.5">
      <c r="A636" s="78" t="s">
        <v>766</v>
      </c>
      <c r="B636" s="76">
        <v>59826</v>
      </c>
      <c r="C636" s="81">
        <v>0</v>
      </c>
      <c r="D636" s="82">
        <v>0</v>
      </c>
    </row>
    <row r="637" spans="1:4">
      <c r="A637" s="78" t="s">
        <v>767</v>
      </c>
      <c r="B637" s="76">
        <v>3850</v>
      </c>
      <c r="C637" s="81">
        <v>0</v>
      </c>
      <c r="D637" s="82">
        <v>0</v>
      </c>
    </row>
    <row r="638" spans="1:4">
      <c r="A638" s="78" t="s">
        <v>768</v>
      </c>
      <c r="B638" s="76">
        <v>64066</v>
      </c>
      <c r="C638" s="81">
        <v>0</v>
      </c>
      <c r="D638" s="82">
        <v>0</v>
      </c>
    </row>
    <row r="639" spans="1:4" ht="42.75">
      <c r="A639" s="78" t="s">
        <v>769</v>
      </c>
      <c r="B639" s="76">
        <v>52015</v>
      </c>
      <c r="C639" s="81">
        <v>2.4E-2</v>
      </c>
      <c r="D639" s="82">
        <v>2.4E-2</v>
      </c>
    </row>
    <row r="640" spans="1:4">
      <c r="A640" s="78" t="s">
        <v>770</v>
      </c>
      <c r="B640" s="76">
        <v>3895</v>
      </c>
      <c r="C640" s="81">
        <v>0</v>
      </c>
      <c r="D640" s="82">
        <v>0</v>
      </c>
    </row>
    <row r="641" spans="1:4" ht="42.75">
      <c r="A641" s="78" t="s">
        <v>771</v>
      </c>
      <c r="B641" s="76">
        <v>7431</v>
      </c>
      <c r="C641" s="81">
        <v>0</v>
      </c>
      <c r="D641" s="82">
        <v>0</v>
      </c>
    </row>
    <row r="642" spans="1:4" ht="57">
      <c r="A642" s="78" t="s">
        <v>772</v>
      </c>
      <c r="B642" s="76">
        <v>57353</v>
      </c>
      <c r="C642" s="81">
        <v>0</v>
      </c>
      <c r="D642" s="82">
        <v>0</v>
      </c>
    </row>
    <row r="643" spans="1:4">
      <c r="A643" s="78" t="s">
        <v>773</v>
      </c>
      <c r="B643" s="76">
        <v>57496</v>
      </c>
      <c r="C643" s="81">
        <v>0</v>
      </c>
      <c r="D643" s="82">
        <v>0</v>
      </c>
    </row>
    <row r="644" spans="1:4" ht="28.5">
      <c r="A644" s="78" t="s">
        <v>774</v>
      </c>
      <c r="B644" s="76">
        <v>57327</v>
      </c>
      <c r="C644" s="81">
        <v>0</v>
      </c>
      <c r="D644" s="82">
        <v>0</v>
      </c>
    </row>
    <row r="645" spans="1:4">
      <c r="A645" s="78" t="s">
        <v>775</v>
      </c>
      <c r="B645" s="76">
        <v>60654</v>
      </c>
      <c r="C645" s="81">
        <v>0</v>
      </c>
      <c r="D645" s="82">
        <v>0</v>
      </c>
    </row>
    <row r="646" spans="1:4" ht="28.5">
      <c r="A646" s="78" t="s">
        <v>776</v>
      </c>
      <c r="B646" s="76">
        <v>3918</v>
      </c>
      <c r="C646" s="81">
        <v>0</v>
      </c>
      <c r="D646" s="82">
        <v>0</v>
      </c>
    </row>
    <row r="647" spans="1:4" ht="28.5">
      <c r="A647" s="78" t="s">
        <v>777</v>
      </c>
      <c r="B647" s="76">
        <v>3918</v>
      </c>
      <c r="C647" s="81">
        <v>0</v>
      </c>
      <c r="D647" s="82">
        <v>0</v>
      </c>
    </row>
    <row r="648" spans="1:4" ht="42.75">
      <c r="A648" s="78" t="s">
        <v>778</v>
      </c>
      <c r="B648" s="76">
        <v>3845</v>
      </c>
      <c r="C648" s="81">
        <v>1.095</v>
      </c>
      <c r="D648" s="82">
        <v>1.095</v>
      </c>
    </row>
    <row r="649" spans="1:4">
      <c r="A649" s="78" t="s">
        <v>779</v>
      </c>
      <c r="B649" s="76">
        <v>56224</v>
      </c>
      <c r="C649" s="81">
        <v>1.0026999999999999</v>
      </c>
      <c r="D649" s="82">
        <v>1.0026999999999999</v>
      </c>
    </row>
    <row r="650" spans="1:4" ht="28.5">
      <c r="A650" s="78" t="s">
        <v>780</v>
      </c>
      <c r="B650" s="76">
        <v>58571</v>
      </c>
      <c r="C650" s="81">
        <v>0</v>
      </c>
      <c r="D650" s="82">
        <v>0</v>
      </c>
    </row>
    <row r="651" spans="1:4" ht="42.75">
      <c r="A651" s="78" t="s">
        <v>781</v>
      </c>
      <c r="B651" s="76">
        <v>60785</v>
      </c>
      <c r="C651" s="81">
        <v>0</v>
      </c>
      <c r="D651" s="82">
        <v>0</v>
      </c>
    </row>
    <row r="652" spans="1:4" ht="28.5">
      <c r="A652" s="78" t="s">
        <v>782</v>
      </c>
      <c r="B652" s="76">
        <v>62980</v>
      </c>
      <c r="C652" s="81">
        <v>0</v>
      </c>
      <c r="D652" s="82">
        <v>0</v>
      </c>
    </row>
    <row r="653" spans="1:4" ht="28.5">
      <c r="A653" s="78" t="s">
        <v>783</v>
      </c>
      <c r="B653" s="76">
        <v>3861</v>
      </c>
      <c r="C653" s="81">
        <v>0</v>
      </c>
      <c r="D653" s="82">
        <v>0</v>
      </c>
    </row>
    <row r="654" spans="1:4">
      <c r="A654" s="78" t="s">
        <v>784</v>
      </c>
      <c r="B654" s="76">
        <v>9096</v>
      </c>
      <c r="C654" s="81">
        <v>0</v>
      </c>
      <c r="D654" s="82">
        <v>0</v>
      </c>
    </row>
    <row r="655" spans="1:4" ht="28.5">
      <c r="A655" s="78" t="s">
        <v>785</v>
      </c>
      <c r="B655" s="76">
        <v>55802</v>
      </c>
      <c r="C655" s="81">
        <v>0.60399999999999998</v>
      </c>
      <c r="D655" s="82">
        <v>0.60399999999999998</v>
      </c>
    </row>
    <row r="656" spans="1:4" ht="28.5">
      <c r="A656" s="78" t="s">
        <v>786</v>
      </c>
      <c r="B656" s="76">
        <v>6515</v>
      </c>
      <c r="C656" s="81">
        <v>0.79449999999999998</v>
      </c>
      <c r="D656" s="82">
        <v>0.79449999999999998</v>
      </c>
    </row>
    <row r="657" spans="1:4">
      <c r="A657" s="78" t="s">
        <v>787</v>
      </c>
      <c r="B657" s="76">
        <v>57188</v>
      </c>
      <c r="C657" s="81">
        <v>0</v>
      </c>
      <c r="D657" s="82">
        <v>0</v>
      </c>
    </row>
    <row r="658" spans="1:4" ht="42.75">
      <c r="A658" s="78" t="s">
        <v>788</v>
      </c>
      <c r="B658" s="76">
        <v>60421</v>
      </c>
      <c r="C658" s="81">
        <v>0</v>
      </c>
      <c r="D658" s="82">
        <v>0</v>
      </c>
    </row>
    <row r="659" spans="1:4">
      <c r="A659" s="78" t="s">
        <v>789</v>
      </c>
      <c r="B659" s="76">
        <v>61582</v>
      </c>
      <c r="C659" s="81">
        <v>0</v>
      </c>
      <c r="D659" s="82">
        <v>0</v>
      </c>
    </row>
    <row r="660" spans="1:4">
      <c r="A660" s="78" t="s">
        <v>790</v>
      </c>
      <c r="B660" s="76">
        <v>117</v>
      </c>
      <c r="C660" s="81">
        <v>0.46310000000000001</v>
      </c>
      <c r="D660" s="82">
        <v>0.46310000000000001</v>
      </c>
    </row>
    <row r="661" spans="1:4" ht="28.5">
      <c r="A661" s="78" t="s">
        <v>791</v>
      </c>
      <c r="B661" s="76">
        <v>55622</v>
      </c>
      <c r="C661" s="81">
        <v>0.54859999999999998</v>
      </c>
      <c r="D661" s="82">
        <v>0.54859999999999998</v>
      </c>
    </row>
    <row r="662" spans="1:4">
      <c r="A662" s="78" t="s">
        <v>792</v>
      </c>
      <c r="B662" s="76">
        <v>56487</v>
      </c>
      <c r="C662" s="81">
        <v>0</v>
      </c>
      <c r="D662" s="82">
        <v>0</v>
      </c>
    </row>
    <row r="663" spans="1:4" ht="28.5">
      <c r="A663" s="78" t="s">
        <v>793</v>
      </c>
      <c r="B663" s="76">
        <v>63001</v>
      </c>
      <c r="C663" s="81">
        <v>0</v>
      </c>
      <c r="D663" s="82">
        <v>0</v>
      </c>
    </row>
    <row r="664" spans="1:4" ht="28.5">
      <c r="A664" s="78" t="s">
        <v>794</v>
      </c>
      <c r="B664" s="76">
        <v>6120</v>
      </c>
      <c r="C664" s="81">
        <v>0.68740000000000001</v>
      </c>
      <c r="D664" s="82">
        <v>0.68740000000000001</v>
      </c>
    </row>
    <row r="665" spans="1:4">
      <c r="A665" s="78" t="s">
        <v>795</v>
      </c>
      <c r="B665" s="76">
        <v>56322</v>
      </c>
      <c r="C665" s="81">
        <v>0</v>
      </c>
      <c r="D665" s="82">
        <v>0</v>
      </c>
    </row>
    <row r="666" spans="1:4" ht="28.5">
      <c r="A666" s="78" t="s">
        <v>796</v>
      </c>
      <c r="B666" s="76">
        <v>56952</v>
      </c>
      <c r="C666" s="81">
        <v>0</v>
      </c>
      <c r="D666" s="82">
        <v>0</v>
      </c>
    </row>
    <row r="667" spans="1:4" ht="28.5">
      <c r="A667" s="78" t="s">
        <v>797</v>
      </c>
      <c r="B667" s="76">
        <v>10191</v>
      </c>
      <c r="C667" s="81">
        <v>0</v>
      </c>
      <c r="D667" s="82">
        <v>0</v>
      </c>
    </row>
    <row r="668" spans="1:4">
      <c r="A668" s="78" t="s">
        <v>798</v>
      </c>
      <c r="B668" s="76">
        <v>57159</v>
      </c>
      <c r="C668" s="81">
        <v>0</v>
      </c>
      <c r="D668" s="82">
        <v>0</v>
      </c>
    </row>
    <row r="669" spans="1:4" ht="57">
      <c r="A669" s="78" t="s">
        <v>799</v>
      </c>
      <c r="B669" s="76">
        <v>56702</v>
      </c>
      <c r="C669" s="81">
        <v>0</v>
      </c>
      <c r="D669" s="82">
        <v>0</v>
      </c>
    </row>
    <row r="670" spans="1:4" ht="28.5">
      <c r="A670" s="78" t="s">
        <v>800</v>
      </c>
      <c r="B670" s="76">
        <v>59525</v>
      </c>
      <c r="C670" s="81">
        <v>0</v>
      </c>
      <c r="D670" s="82">
        <v>0</v>
      </c>
    </row>
    <row r="671" spans="1:4">
      <c r="A671" s="78" t="s">
        <v>801</v>
      </c>
      <c r="B671" s="76">
        <v>61345</v>
      </c>
      <c r="C671" s="81">
        <v>0</v>
      </c>
      <c r="D671" s="82">
        <v>0</v>
      </c>
    </row>
    <row r="672" spans="1:4" ht="28.5">
      <c r="A672" s="78" t="s">
        <v>802</v>
      </c>
      <c r="B672" s="76">
        <v>7127</v>
      </c>
      <c r="C672" s="81">
        <v>0</v>
      </c>
      <c r="D672" s="82">
        <v>0</v>
      </c>
    </row>
    <row r="673" spans="1:4">
      <c r="A673" s="78" t="s">
        <v>803</v>
      </c>
      <c r="B673" s="76">
        <v>6101</v>
      </c>
      <c r="C673" s="81">
        <v>1.2569999999999999</v>
      </c>
      <c r="D673" s="82">
        <v>1.2569999999999999</v>
      </c>
    </row>
    <row r="674" spans="1:4">
      <c r="A674" s="78" t="s">
        <v>804</v>
      </c>
      <c r="B674" s="76">
        <v>3852</v>
      </c>
      <c r="C674" s="81">
        <v>0</v>
      </c>
      <c r="D674" s="82">
        <v>0</v>
      </c>
    </row>
    <row r="675" spans="1:4">
      <c r="A675" s="78" t="s">
        <v>805</v>
      </c>
      <c r="B675" s="76">
        <v>120</v>
      </c>
      <c r="C675" s="81">
        <v>0.63070000000000004</v>
      </c>
      <c r="D675" s="82">
        <v>0.63070000000000004</v>
      </c>
    </row>
    <row r="676" spans="1:4" ht="28.5">
      <c r="A676" s="78" t="s">
        <v>806</v>
      </c>
      <c r="B676" s="76">
        <v>54694</v>
      </c>
      <c r="C676" s="81">
        <v>0.45989999999999998</v>
      </c>
      <c r="D676" s="82">
        <v>0.45989999999999998</v>
      </c>
    </row>
    <row r="677" spans="1:4" ht="28.5">
      <c r="A677" s="78" t="s">
        <v>807</v>
      </c>
      <c r="B677" s="76">
        <v>57393</v>
      </c>
      <c r="C677" s="81">
        <v>0.59160000000000001</v>
      </c>
      <c r="D677" s="82">
        <v>0.59160000000000001</v>
      </c>
    </row>
    <row r="678" spans="1:4">
      <c r="A678" s="78" t="s">
        <v>808</v>
      </c>
      <c r="B678" s="76">
        <v>99</v>
      </c>
      <c r="C678" s="81">
        <v>0.74429999999999996</v>
      </c>
      <c r="D678" s="82">
        <v>0.74429999999999996</v>
      </c>
    </row>
    <row r="679" spans="1:4" ht="42.75">
      <c r="A679" s="78" t="s">
        <v>809</v>
      </c>
      <c r="B679" s="76">
        <v>57345</v>
      </c>
      <c r="C679" s="81">
        <v>0.32469999999999999</v>
      </c>
      <c r="D679" s="82">
        <v>0.32469999999999999</v>
      </c>
    </row>
    <row r="680" spans="1:4">
      <c r="A680" s="78" t="s">
        <v>810</v>
      </c>
      <c r="B680" s="76">
        <v>54749</v>
      </c>
      <c r="C680" s="81">
        <v>0.34310000000000002</v>
      </c>
      <c r="D680" s="82">
        <v>0.34310000000000002</v>
      </c>
    </row>
    <row r="681" spans="1:4">
      <c r="A681" s="78" t="s">
        <v>811</v>
      </c>
      <c r="B681" s="76">
        <v>7790</v>
      </c>
      <c r="C681" s="81">
        <v>0.97650000000000003</v>
      </c>
      <c r="D681" s="82">
        <v>0.97650000000000003</v>
      </c>
    </row>
    <row r="682" spans="1:4">
      <c r="A682" s="78" t="s">
        <v>812</v>
      </c>
      <c r="B682" s="76">
        <v>2817</v>
      </c>
      <c r="C682" s="81">
        <v>1.1908000000000001</v>
      </c>
      <c r="D682" s="82">
        <v>1.1908000000000001</v>
      </c>
    </row>
    <row r="683" spans="1:4" ht="28.5">
      <c r="A683" s="78" t="s">
        <v>813</v>
      </c>
      <c r="B683" s="76">
        <v>57971</v>
      </c>
      <c r="C683" s="81">
        <v>0.4859</v>
      </c>
      <c r="D683" s="82">
        <v>2.5000000000000001E-3</v>
      </c>
    </row>
    <row r="684" spans="1:4" ht="28.5">
      <c r="A684" s="78" t="s">
        <v>814</v>
      </c>
      <c r="B684" s="76">
        <v>57876</v>
      </c>
      <c r="C684" s="81">
        <v>0.60260000000000002</v>
      </c>
      <c r="D684" s="82">
        <v>3.0999999999999999E-3</v>
      </c>
    </row>
    <row r="685" spans="1:4" ht="28.5">
      <c r="A685" s="78" t="s">
        <v>815</v>
      </c>
      <c r="B685" s="76">
        <v>58397</v>
      </c>
      <c r="C685" s="81">
        <v>0.55259999999999998</v>
      </c>
      <c r="D685" s="82">
        <v>2.8E-3</v>
      </c>
    </row>
    <row r="686" spans="1:4" ht="28.5">
      <c r="A686" s="78" t="s">
        <v>816</v>
      </c>
      <c r="B686" s="76">
        <v>57771</v>
      </c>
      <c r="C686" s="81">
        <v>0.5383</v>
      </c>
      <c r="D686" s="82">
        <v>2.8E-3</v>
      </c>
    </row>
    <row r="687" spans="1:4">
      <c r="A687" s="78" t="s">
        <v>817</v>
      </c>
      <c r="B687" s="76">
        <v>7450</v>
      </c>
      <c r="C687" s="81">
        <v>0.86819999999999997</v>
      </c>
      <c r="D687" s="82">
        <v>0.86819999999999997</v>
      </c>
    </row>
    <row r="688" spans="1:4">
      <c r="A688" s="78" t="s">
        <v>818</v>
      </c>
      <c r="B688" s="76">
        <v>7451</v>
      </c>
      <c r="C688" s="81">
        <v>0.87990000000000002</v>
      </c>
      <c r="D688" s="82">
        <v>0.87990000000000002</v>
      </c>
    </row>
    <row r="689" spans="1:4">
      <c r="A689" s="78" t="s">
        <v>819</v>
      </c>
      <c r="B689" s="76">
        <v>58320</v>
      </c>
      <c r="C689" s="81">
        <v>0.55649999999999999</v>
      </c>
      <c r="D689" s="82">
        <v>2.8E-3</v>
      </c>
    </row>
    <row r="690" spans="1:4">
      <c r="A690" s="78" t="s">
        <v>820</v>
      </c>
      <c r="B690" s="76">
        <v>6060</v>
      </c>
      <c r="C690" s="81">
        <v>10.7553</v>
      </c>
      <c r="D690" s="82">
        <v>10.7553</v>
      </c>
    </row>
    <row r="691" spans="1:4">
      <c r="A691" s="78" t="s">
        <v>821</v>
      </c>
      <c r="B691" s="76">
        <v>7824</v>
      </c>
      <c r="C691" s="81">
        <v>0.78180000000000005</v>
      </c>
      <c r="D691" s="82">
        <v>0.78180000000000005</v>
      </c>
    </row>
    <row r="692" spans="1:4" ht="28.5">
      <c r="A692" s="78" t="s">
        <v>822</v>
      </c>
      <c r="B692" s="76">
        <v>54951</v>
      </c>
      <c r="C692" s="81">
        <v>0.13420000000000001</v>
      </c>
      <c r="D692" s="82">
        <v>5.0000000000000001E-4</v>
      </c>
    </row>
    <row r="693" spans="1:4" ht="28.5">
      <c r="A693" s="78" t="s">
        <v>823</v>
      </c>
      <c r="B693" s="76">
        <v>61501</v>
      </c>
      <c r="C693" s="81">
        <v>0.64170000000000005</v>
      </c>
      <c r="D693" s="82">
        <v>3.3E-3</v>
      </c>
    </row>
    <row r="694" spans="1:4" ht="28.5">
      <c r="A694" s="78" t="s">
        <v>824</v>
      </c>
      <c r="B694" s="76">
        <v>61502</v>
      </c>
      <c r="C694" s="81">
        <v>0.76770000000000005</v>
      </c>
      <c r="D694" s="82">
        <v>3.8999999999999998E-3</v>
      </c>
    </row>
    <row r="695" spans="1:4" ht="28.5">
      <c r="A695" s="78" t="s">
        <v>825</v>
      </c>
      <c r="B695" s="76">
        <v>61503</v>
      </c>
      <c r="C695" s="81">
        <v>0.64539999999999997</v>
      </c>
      <c r="D695" s="82">
        <v>3.3E-3</v>
      </c>
    </row>
    <row r="696" spans="1:4">
      <c r="A696" s="78" t="s">
        <v>826</v>
      </c>
      <c r="B696" s="76">
        <v>58379</v>
      </c>
      <c r="C696" s="81">
        <v>0.5181</v>
      </c>
      <c r="D696" s="82">
        <v>2.7000000000000001E-3</v>
      </c>
    </row>
    <row r="697" spans="1:4" ht="57">
      <c r="A697" s="78" t="s">
        <v>827</v>
      </c>
      <c r="B697" s="76">
        <v>60220</v>
      </c>
      <c r="C697" s="81">
        <v>0.13850000000000001</v>
      </c>
      <c r="D697" s="82">
        <v>6.9999999999999999E-4</v>
      </c>
    </row>
    <row r="698" spans="1:4" ht="28.5">
      <c r="A698" s="78" t="s">
        <v>828</v>
      </c>
      <c r="B698" s="76">
        <v>62418</v>
      </c>
      <c r="C698" s="81">
        <v>0.52769999999999995</v>
      </c>
      <c r="D698" s="82">
        <v>2.7000000000000001E-3</v>
      </c>
    </row>
    <row r="699" spans="1:4" ht="28.5">
      <c r="A699" s="78" t="s">
        <v>829</v>
      </c>
      <c r="B699" s="76">
        <v>62419</v>
      </c>
      <c r="C699" s="81">
        <v>0.55179999999999996</v>
      </c>
      <c r="D699" s="82">
        <v>2.8E-3</v>
      </c>
    </row>
    <row r="700" spans="1:4" ht="28.5">
      <c r="A700" s="78" t="s">
        <v>830</v>
      </c>
      <c r="B700" s="76">
        <v>58699</v>
      </c>
      <c r="C700" s="81">
        <v>0.6552</v>
      </c>
      <c r="D700" s="82">
        <v>3.3999999999999998E-3</v>
      </c>
    </row>
    <row r="701" spans="1:4" ht="28.5">
      <c r="A701" s="78" t="s">
        <v>831</v>
      </c>
      <c r="B701" s="76">
        <v>59496</v>
      </c>
      <c r="C701" s="81">
        <v>8.4699999999999998E-2</v>
      </c>
      <c r="D701" s="82">
        <v>8.4699999999999998E-2</v>
      </c>
    </row>
    <row r="702" spans="1:4" ht="28.5">
      <c r="A702" s="78" t="s">
        <v>832</v>
      </c>
      <c r="B702" s="76">
        <v>56144</v>
      </c>
      <c r="C702" s="81">
        <v>0.75600000000000001</v>
      </c>
      <c r="D702" s="82">
        <v>0.75600000000000001</v>
      </c>
    </row>
    <row r="703" spans="1:4" ht="28.5">
      <c r="A703" s="78" t="s">
        <v>833</v>
      </c>
      <c r="B703" s="76">
        <v>7452</v>
      </c>
      <c r="C703" s="81">
        <v>0.9123</v>
      </c>
      <c r="D703" s="82">
        <v>0.9123</v>
      </c>
    </row>
    <row r="704" spans="1:4">
      <c r="A704" s="78" t="s">
        <v>834</v>
      </c>
      <c r="B704" s="76">
        <v>535</v>
      </c>
      <c r="C704" s="81">
        <v>0.67149999999999999</v>
      </c>
      <c r="D704" s="82">
        <v>0.67149999999999999</v>
      </c>
    </row>
    <row r="705" spans="1:4">
      <c r="A705" s="78" t="s">
        <v>835</v>
      </c>
      <c r="B705" s="76">
        <v>7231</v>
      </c>
      <c r="C705" s="81">
        <v>0.80179999999999996</v>
      </c>
      <c r="D705" s="82">
        <v>0.80179999999999996</v>
      </c>
    </row>
    <row r="706" spans="1:4" ht="42.75">
      <c r="A706" s="78" t="s">
        <v>836</v>
      </c>
      <c r="B706" s="76">
        <v>50224</v>
      </c>
      <c r="C706" s="81">
        <v>0.2147</v>
      </c>
      <c r="D706" s="82">
        <v>0.2147</v>
      </c>
    </row>
    <row r="707" spans="1:4">
      <c r="A707" s="78" t="s">
        <v>837</v>
      </c>
      <c r="B707" s="76">
        <v>56039</v>
      </c>
      <c r="C707" s="81">
        <v>0.71830000000000005</v>
      </c>
      <c r="D707" s="82">
        <v>0.71830000000000005</v>
      </c>
    </row>
    <row r="708" spans="1:4" ht="28.5">
      <c r="A708" s="78" t="s">
        <v>838</v>
      </c>
      <c r="B708" s="76">
        <v>56346</v>
      </c>
      <c r="C708" s="81">
        <v>3.5863999999999998</v>
      </c>
      <c r="D708" s="82">
        <v>3.5863999999999998</v>
      </c>
    </row>
    <row r="709" spans="1:4" ht="28.5">
      <c r="A709" s="78" t="s">
        <v>839</v>
      </c>
      <c r="B709" s="76">
        <v>4256</v>
      </c>
      <c r="C709" s="81">
        <v>2.3900999999999999</v>
      </c>
      <c r="D709" s="82">
        <v>2.3900999999999999</v>
      </c>
    </row>
    <row r="710" spans="1:4" ht="28.5">
      <c r="A710" s="78" t="s">
        <v>840</v>
      </c>
      <c r="B710" s="76">
        <v>61846</v>
      </c>
      <c r="C710" s="81">
        <v>0.5131</v>
      </c>
      <c r="D710" s="82">
        <v>1.1999999999999999E-3</v>
      </c>
    </row>
    <row r="711" spans="1:4">
      <c r="A711" s="78" t="s">
        <v>841</v>
      </c>
      <c r="B711" s="76">
        <v>64141</v>
      </c>
      <c r="C711" s="81">
        <v>0.95589999999999997</v>
      </c>
      <c r="D711" s="82">
        <v>4.8999999999999998E-3</v>
      </c>
    </row>
    <row r="712" spans="1:4" ht="28.5">
      <c r="A712" s="78" t="s">
        <v>842</v>
      </c>
      <c r="B712" s="76">
        <v>64622</v>
      </c>
      <c r="C712" s="81">
        <v>0.52429999999999999</v>
      </c>
      <c r="D712" s="82">
        <v>2.7000000000000001E-3</v>
      </c>
    </row>
    <row r="713" spans="1:4" ht="42.75">
      <c r="A713" s="78" t="s">
        <v>843</v>
      </c>
      <c r="B713" s="76">
        <v>63094</v>
      </c>
      <c r="C713" s="81">
        <v>0.17419999999999999</v>
      </c>
      <c r="D713" s="82">
        <v>8.9999999999999998E-4</v>
      </c>
    </row>
    <row r="714" spans="1:4" ht="28.5">
      <c r="A714" s="78" t="s">
        <v>844</v>
      </c>
      <c r="B714" s="76">
        <v>64005</v>
      </c>
      <c r="C714" s="81">
        <v>0.48609999999999998</v>
      </c>
      <c r="D714" s="82">
        <v>2.5000000000000001E-3</v>
      </c>
    </row>
    <row r="715" spans="1:4">
      <c r="A715" s="78" t="s">
        <v>845</v>
      </c>
      <c r="B715" s="76">
        <v>151</v>
      </c>
      <c r="C715" s="81">
        <v>1.1553</v>
      </c>
      <c r="D715" s="82">
        <v>1.1553</v>
      </c>
    </row>
    <row r="716" spans="1:4" ht="28.5">
      <c r="A716" s="78" t="s">
        <v>846</v>
      </c>
      <c r="B716" s="76">
        <v>10386</v>
      </c>
      <c r="C716" s="81">
        <v>0.97609999999999997</v>
      </c>
      <c r="D716" s="82">
        <v>0.20119999999999999</v>
      </c>
    </row>
    <row r="717" spans="1:4">
      <c r="A717" s="78" t="s">
        <v>847</v>
      </c>
      <c r="B717" s="76">
        <v>10480</v>
      </c>
      <c r="C717" s="81">
        <v>8.0100000000000005E-2</v>
      </c>
      <c r="D717" s="82">
        <v>0</v>
      </c>
    </row>
    <row r="718" spans="1:4">
      <c r="A718" s="78" t="s">
        <v>848</v>
      </c>
      <c r="B718" s="76">
        <v>10481</v>
      </c>
      <c r="C718" s="81">
        <v>8.0100000000000005E-2</v>
      </c>
      <c r="D718" s="82">
        <v>0</v>
      </c>
    </row>
    <row r="719" spans="1:4">
      <c r="A719" s="78" t="s">
        <v>849</v>
      </c>
      <c r="B719" s="76">
        <v>61912</v>
      </c>
      <c r="C719" s="81">
        <v>8.0100000000000005E-2</v>
      </c>
      <c r="D719" s="82">
        <v>0</v>
      </c>
    </row>
    <row r="720" spans="1:4" ht="28.5">
      <c r="A720" s="78" t="s">
        <v>850</v>
      </c>
      <c r="B720" s="76">
        <v>50762</v>
      </c>
      <c r="C720" s="81">
        <v>8.0100000000000005E-2</v>
      </c>
      <c r="D720" s="82">
        <v>0</v>
      </c>
    </row>
    <row r="721" spans="1:4">
      <c r="A721" s="78" t="s">
        <v>851</v>
      </c>
      <c r="B721" s="76">
        <v>299</v>
      </c>
      <c r="C721" s="81">
        <v>8.0100000000000005E-2</v>
      </c>
      <c r="D721" s="82">
        <v>0</v>
      </c>
    </row>
    <row r="722" spans="1:4" ht="42.75">
      <c r="A722" s="78" t="s">
        <v>852</v>
      </c>
      <c r="B722" s="76">
        <v>510</v>
      </c>
      <c r="C722" s="81">
        <v>8.0100000000000005E-2</v>
      </c>
      <c r="D722" s="82">
        <v>0</v>
      </c>
    </row>
    <row r="723" spans="1:4">
      <c r="A723" s="78" t="s">
        <v>853</v>
      </c>
      <c r="B723" s="76">
        <v>55160</v>
      </c>
      <c r="C723" s="81">
        <v>0.97609999999999997</v>
      </c>
      <c r="D723" s="82">
        <v>0.20119999999999999</v>
      </c>
    </row>
    <row r="724" spans="1:4">
      <c r="A724" s="78" t="s">
        <v>854</v>
      </c>
      <c r="B724" s="76">
        <v>54724</v>
      </c>
      <c r="C724" s="81">
        <v>8.0100000000000005E-2</v>
      </c>
      <c r="D724" s="82">
        <v>0</v>
      </c>
    </row>
    <row r="725" spans="1:4">
      <c r="A725" s="78" t="s">
        <v>855</v>
      </c>
      <c r="B725" s="76">
        <v>57730</v>
      </c>
      <c r="C725" s="81">
        <v>0.97609999999999997</v>
      </c>
      <c r="D725" s="82">
        <v>0.20119999999999999</v>
      </c>
    </row>
    <row r="726" spans="1:4" ht="42.75">
      <c r="A726" s="78" t="s">
        <v>856</v>
      </c>
      <c r="B726" s="76">
        <v>57100</v>
      </c>
      <c r="C726" s="81">
        <v>0.97609999999999997</v>
      </c>
      <c r="D726" s="82">
        <v>0.20119999999999999</v>
      </c>
    </row>
    <row r="727" spans="1:4" ht="42.75">
      <c r="A727" s="78" t="s">
        <v>857</v>
      </c>
      <c r="B727" s="76">
        <v>54038</v>
      </c>
      <c r="C727" s="81">
        <v>8.0100000000000005E-2</v>
      </c>
      <c r="D727" s="82">
        <v>0</v>
      </c>
    </row>
    <row r="728" spans="1:4" ht="42.75">
      <c r="A728" s="78" t="s">
        <v>857</v>
      </c>
      <c r="B728" s="76">
        <v>10763</v>
      </c>
      <c r="C728" s="81">
        <v>8.0100000000000005E-2</v>
      </c>
      <c r="D728" s="82">
        <v>0</v>
      </c>
    </row>
    <row r="729" spans="1:4">
      <c r="A729" s="78" t="s">
        <v>858</v>
      </c>
      <c r="B729" s="76">
        <v>10479</v>
      </c>
      <c r="C729" s="81">
        <v>8.0100000000000005E-2</v>
      </c>
      <c r="D729" s="82">
        <v>0</v>
      </c>
    </row>
    <row r="730" spans="1:4">
      <c r="A730" s="78" t="s">
        <v>859</v>
      </c>
      <c r="B730" s="76">
        <v>34</v>
      </c>
      <c r="C730" s="81">
        <v>0</v>
      </c>
      <c r="D730" s="82">
        <v>0</v>
      </c>
    </row>
    <row r="731" spans="1:4">
      <c r="A731" s="78" t="s">
        <v>860</v>
      </c>
      <c r="B731" s="76">
        <v>72</v>
      </c>
      <c r="C731" s="81">
        <v>0</v>
      </c>
      <c r="D731" s="82">
        <v>0</v>
      </c>
    </row>
    <row r="732" spans="1:4" ht="28.5">
      <c r="A732" s="78" t="s">
        <v>861</v>
      </c>
      <c r="B732" s="76">
        <v>100</v>
      </c>
      <c r="C732" s="81">
        <v>0</v>
      </c>
      <c r="D732" s="82">
        <v>0</v>
      </c>
    </row>
    <row r="733" spans="1:4">
      <c r="A733" s="78" t="s">
        <v>862</v>
      </c>
      <c r="B733" s="76">
        <v>104</v>
      </c>
      <c r="C733" s="81">
        <v>0</v>
      </c>
      <c r="D733" s="82">
        <v>0</v>
      </c>
    </row>
    <row r="734" spans="1:4">
      <c r="A734" s="78" t="s">
        <v>863</v>
      </c>
      <c r="B734" s="76">
        <v>152</v>
      </c>
      <c r="C734" s="81">
        <v>0</v>
      </c>
      <c r="D734" s="82">
        <v>0</v>
      </c>
    </row>
    <row r="735" spans="1:4">
      <c r="A735" s="78" t="s">
        <v>864</v>
      </c>
      <c r="B735" s="76">
        <v>159</v>
      </c>
      <c r="C735" s="81">
        <v>0</v>
      </c>
      <c r="D735" s="82">
        <v>0</v>
      </c>
    </row>
    <row r="736" spans="1:4">
      <c r="A736" s="78" t="s">
        <v>865</v>
      </c>
      <c r="B736" s="76">
        <v>161</v>
      </c>
      <c r="C736" s="81">
        <v>0</v>
      </c>
      <c r="D736" s="82">
        <v>0</v>
      </c>
    </row>
    <row r="737" spans="1:4">
      <c r="A737" s="78" t="s">
        <v>866</v>
      </c>
      <c r="B737" s="76">
        <v>162</v>
      </c>
      <c r="C737" s="81">
        <v>0</v>
      </c>
      <c r="D737" s="82">
        <v>0</v>
      </c>
    </row>
    <row r="738" spans="1:4">
      <c r="A738" s="78" t="s">
        <v>867</v>
      </c>
      <c r="B738" s="76">
        <v>180</v>
      </c>
      <c r="C738" s="81">
        <v>0</v>
      </c>
      <c r="D738" s="82">
        <v>0</v>
      </c>
    </row>
    <row r="739" spans="1:4">
      <c r="A739" s="78" t="s">
        <v>868</v>
      </c>
      <c r="B739" s="76">
        <v>214</v>
      </c>
      <c r="C739" s="81">
        <v>0</v>
      </c>
      <c r="D739" s="82">
        <v>0</v>
      </c>
    </row>
    <row r="740" spans="1:4">
      <c r="A740" s="78" t="s">
        <v>869</v>
      </c>
      <c r="B740" s="76">
        <v>215</v>
      </c>
      <c r="C740" s="81">
        <v>0</v>
      </c>
      <c r="D740" s="82">
        <v>0</v>
      </c>
    </row>
    <row r="741" spans="1:4">
      <c r="A741" s="78" t="s">
        <v>870</v>
      </c>
      <c r="B741" s="76">
        <v>217</v>
      </c>
      <c r="C741" s="81">
        <v>0</v>
      </c>
      <c r="D741" s="82">
        <v>0</v>
      </c>
    </row>
    <row r="742" spans="1:4">
      <c r="A742" s="78" t="s">
        <v>871</v>
      </c>
      <c r="B742" s="76">
        <v>218</v>
      </c>
      <c r="C742" s="81">
        <v>0</v>
      </c>
      <c r="D742" s="82">
        <v>0</v>
      </c>
    </row>
    <row r="743" spans="1:4">
      <c r="A743" s="78" t="s">
        <v>872</v>
      </c>
      <c r="B743" s="76">
        <v>219</v>
      </c>
      <c r="C743" s="81">
        <v>0</v>
      </c>
      <c r="D743" s="82">
        <v>0</v>
      </c>
    </row>
    <row r="744" spans="1:4">
      <c r="A744" s="78" t="s">
        <v>873</v>
      </c>
      <c r="B744" s="76">
        <v>220</v>
      </c>
      <c r="C744" s="81">
        <v>0</v>
      </c>
      <c r="D744" s="82">
        <v>0</v>
      </c>
    </row>
    <row r="745" spans="1:4">
      <c r="A745" s="78" t="s">
        <v>874</v>
      </c>
      <c r="B745" s="76">
        <v>221</v>
      </c>
      <c r="C745" s="81">
        <v>0</v>
      </c>
      <c r="D745" s="82">
        <v>0</v>
      </c>
    </row>
    <row r="746" spans="1:4">
      <c r="A746" s="78" t="s">
        <v>875</v>
      </c>
      <c r="B746" s="76">
        <v>222</v>
      </c>
      <c r="C746" s="81">
        <v>0</v>
      </c>
      <c r="D746" s="82">
        <v>0</v>
      </c>
    </row>
    <row r="747" spans="1:4">
      <c r="A747" s="78" t="s">
        <v>876</v>
      </c>
      <c r="B747" s="76">
        <v>223</v>
      </c>
      <c r="C747" s="81">
        <v>0</v>
      </c>
      <c r="D747" s="82">
        <v>0</v>
      </c>
    </row>
    <row r="748" spans="1:4">
      <c r="A748" s="78" t="s">
        <v>877</v>
      </c>
      <c r="B748" s="76">
        <v>225</v>
      </c>
      <c r="C748" s="81">
        <v>0</v>
      </c>
      <c r="D748" s="82">
        <v>0</v>
      </c>
    </row>
    <row r="749" spans="1:4">
      <c r="A749" s="78" t="s">
        <v>878</v>
      </c>
      <c r="B749" s="76">
        <v>227</v>
      </c>
      <c r="C749" s="81">
        <v>0</v>
      </c>
      <c r="D749" s="82">
        <v>0</v>
      </c>
    </row>
    <row r="750" spans="1:4">
      <c r="A750" s="78" t="s">
        <v>879</v>
      </c>
      <c r="B750" s="76">
        <v>229</v>
      </c>
      <c r="C750" s="81">
        <v>0</v>
      </c>
      <c r="D750" s="82">
        <v>0</v>
      </c>
    </row>
    <row r="751" spans="1:4" ht="28.5">
      <c r="A751" s="78" t="s">
        <v>880</v>
      </c>
      <c r="B751" s="76">
        <v>230</v>
      </c>
      <c r="C751" s="81">
        <v>0</v>
      </c>
      <c r="D751" s="82">
        <v>0</v>
      </c>
    </row>
    <row r="752" spans="1:4">
      <c r="A752" s="78" t="s">
        <v>881</v>
      </c>
      <c r="B752" s="76">
        <v>231</v>
      </c>
      <c r="C752" s="81">
        <v>0</v>
      </c>
      <c r="D752" s="82">
        <v>0</v>
      </c>
    </row>
    <row r="753" spans="1:4">
      <c r="A753" s="78" t="s">
        <v>882</v>
      </c>
      <c r="B753" s="76">
        <v>232</v>
      </c>
      <c r="C753" s="81">
        <v>0</v>
      </c>
      <c r="D753" s="82">
        <v>0</v>
      </c>
    </row>
    <row r="754" spans="1:4">
      <c r="A754" s="78" t="s">
        <v>883</v>
      </c>
      <c r="B754" s="76">
        <v>233</v>
      </c>
      <c r="C754" s="81">
        <v>0</v>
      </c>
      <c r="D754" s="82">
        <v>0</v>
      </c>
    </row>
    <row r="755" spans="1:4">
      <c r="A755" s="78" t="s">
        <v>884</v>
      </c>
      <c r="B755" s="76">
        <v>235</v>
      </c>
      <c r="C755" s="81">
        <v>0</v>
      </c>
      <c r="D755" s="82">
        <v>0</v>
      </c>
    </row>
    <row r="756" spans="1:4">
      <c r="A756" s="78" t="s">
        <v>885</v>
      </c>
      <c r="B756" s="76">
        <v>236</v>
      </c>
      <c r="C756" s="81">
        <v>0</v>
      </c>
      <c r="D756" s="82">
        <v>0</v>
      </c>
    </row>
    <row r="757" spans="1:4">
      <c r="A757" s="78" t="s">
        <v>886</v>
      </c>
      <c r="B757" s="76">
        <v>237</v>
      </c>
      <c r="C757" s="81">
        <v>0</v>
      </c>
      <c r="D757" s="82">
        <v>0</v>
      </c>
    </row>
    <row r="758" spans="1:4">
      <c r="A758" s="78" t="s">
        <v>887</v>
      </c>
      <c r="B758" s="76">
        <v>238</v>
      </c>
      <c r="C758" s="81">
        <v>0</v>
      </c>
      <c r="D758" s="82">
        <v>0</v>
      </c>
    </row>
    <row r="759" spans="1:4">
      <c r="A759" s="78" t="s">
        <v>888</v>
      </c>
      <c r="B759" s="76">
        <v>239</v>
      </c>
      <c r="C759" s="81">
        <v>0</v>
      </c>
      <c r="D759" s="82">
        <v>0</v>
      </c>
    </row>
    <row r="760" spans="1:4">
      <c r="A760" s="78" t="s">
        <v>889</v>
      </c>
      <c r="B760" s="76">
        <v>240</v>
      </c>
      <c r="C760" s="81">
        <v>0</v>
      </c>
      <c r="D760" s="82">
        <v>0</v>
      </c>
    </row>
    <row r="761" spans="1:4">
      <c r="A761" s="78" t="s">
        <v>890</v>
      </c>
      <c r="B761" s="76">
        <v>241</v>
      </c>
      <c r="C761" s="81">
        <v>0</v>
      </c>
      <c r="D761" s="82">
        <v>0</v>
      </c>
    </row>
    <row r="762" spans="1:4">
      <c r="A762" s="78" t="s">
        <v>891</v>
      </c>
      <c r="B762" s="76">
        <v>243</v>
      </c>
      <c r="C762" s="81">
        <v>0</v>
      </c>
      <c r="D762" s="82">
        <v>0</v>
      </c>
    </row>
    <row r="763" spans="1:4">
      <c r="A763" s="78" t="s">
        <v>892</v>
      </c>
      <c r="B763" s="76">
        <v>244</v>
      </c>
      <c r="C763" s="81">
        <v>0</v>
      </c>
      <c r="D763" s="82">
        <v>0</v>
      </c>
    </row>
    <row r="764" spans="1:4">
      <c r="A764" s="78" t="s">
        <v>893</v>
      </c>
      <c r="B764" s="76">
        <v>249</v>
      </c>
      <c r="C764" s="81">
        <v>0</v>
      </c>
      <c r="D764" s="82">
        <v>0</v>
      </c>
    </row>
    <row r="765" spans="1:4">
      <c r="A765" s="78" t="s">
        <v>894</v>
      </c>
      <c r="B765" s="76">
        <v>253</v>
      </c>
      <c r="C765" s="81">
        <v>0</v>
      </c>
      <c r="D765" s="82">
        <v>0</v>
      </c>
    </row>
    <row r="766" spans="1:4">
      <c r="A766" s="78" t="s">
        <v>895</v>
      </c>
      <c r="B766" s="76">
        <v>254</v>
      </c>
      <c r="C766" s="81">
        <v>0</v>
      </c>
      <c r="D766" s="82">
        <v>0</v>
      </c>
    </row>
    <row r="767" spans="1:4">
      <c r="A767" s="78" t="s">
        <v>896</v>
      </c>
      <c r="B767" s="76">
        <v>258</v>
      </c>
      <c r="C767" s="81">
        <v>0</v>
      </c>
      <c r="D767" s="82">
        <v>0</v>
      </c>
    </row>
    <row r="768" spans="1:4">
      <c r="A768" s="78" t="s">
        <v>897</v>
      </c>
      <c r="B768" s="76">
        <v>261</v>
      </c>
      <c r="C768" s="81">
        <v>0</v>
      </c>
      <c r="D768" s="82">
        <v>0</v>
      </c>
    </row>
    <row r="769" spans="1:4">
      <c r="A769" s="78" t="s">
        <v>898</v>
      </c>
      <c r="B769" s="76">
        <v>262</v>
      </c>
      <c r="C769" s="81">
        <v>0</v>
      </c>
      <c r="D769" s="82">
        <v>0</v>
      </c>
    </row>
    <row r="770" spans="1:4">
      <c r="A770" s="78" t="s">
        <v>899</v>
      </c>
      <c r="B770" s="76">
        <v>264</v>
      </c>
      <c r="C770" s="81">
        <v>0</v>
      </c>
      <c r="D770" s="82">
        <v>0</v>
      </c>
    </row>
    <row r="771" spans="1:4">
      <c r="A771" s="78" t="s">
        <v>900</v>
      </c>
      <c r="B771" s="76">
        <v>265</v>
      </c>
      <c r="C771" s="81">
        <v>0</v>
      </c>
      <c r="D771" s="82">
        <v>0</v>
      </c>
    </row>
    <row r="772" spans="1:4">
      <c r="A772" s="78" t="s">
        <v>901</v>
      </c>
      <c r="B772" s="76">
        <v>266</v>
      </c>
      <c r="C772" s="81">
        <v>0</v>
      </c>
      <c r="D772" s="82">
        <v>0</v>
      </c>
    </row>
    <row r="773" spans="1:4">
      <c r="A773" s="78" t="s">
        <v>902</v>
      </c>
      <c r="B773" s="76">
        <v>267</v>
      </c>
      <c r="C773" s="81">
        <v>0</v>
      </c>
      <c r="D773" s="82">
        <v>0</v>
      </c>
    </row>
    <row r="774" spans="1:4">
      <c r="A774" s="78" t="s">
        <v>903</v>
      </c>
      <c r="B774" s="76">
        <v>268</v>
      </c>
      <c r="C774" s="81">
        <v>0</v>
      </c>
      <c r="D774" s="82">
        <v>0</v>
      </c>
    </row>
    <row r="775" spans="1:4">
      <c r="A775" s="78" t="s">
        <v>904</v>
      </c>
      <c r="B775" s="76">
        <v>269</v>
      </c>
      <c r="C775" s="81">
        <v>0</v>
      </c>
      <c r="D775" s="82">
        <v>0</v>
      </c>
    </row>
    <row r="776" spans="1:4">
      <c r="A776" s="78" t="s">
        <v>905</v>
      </c>
      <c r="B776" s="76">
        <v>270</v>
      </c>
      <c r="C776" s="81">
        <v>0</v>
      </c>
      <c r="D776" s="82">
        <v>0</v>
      </c>
    </row>
    <row r="777" spans="1:4">
      <c r="A777" s="78" t="s">
        <v>906</v>
      </c>
      <c r="B777" s="76">
        <v>272</v>
      </c>
      <c r="C777" s="81">
        <v>0</v>
      </c>
      <c r="D777" s="82">
        <v>0</v>
      </c>
    </row>
    <row r="778" spans="1:4">
      <c r="A778" s="78" t="s">
        <v>907</v>
      </c>
      <c r="B778" s="76">
        <v>274</v>
      </c>
      <c r="C778" s="81">
        <v>0</v>
      </c>
      <c r="D778" s="82">
        <v>0</v>
      </c>
    </row>
    <row r="779" spans="1:4">
      <c r="A779" s="78" t="s">
        <v>908</v>
      </c>
      <c r="B779" s="76">
        <v>275</v>
      </c>
      <c r="C779" s="81">
        <v>0</v>
      </c>
      <c r="D779" s="82">
        <v>0</v>
      </c>
    </row>
    <row r="780" spans="1:4">
      <c r="A780" s="78" t="s">
        <v>909</v>
      </c>
      <c r="B780" s="76">
        <v>276</v>
      </c>
      <c r="C780" s="81">
        <v>0</v>
      </c>
      <c r="D780" s="82">
        <v>0</v>
      </c>
    </row>
    <row r="781" spans="1:4">
      <c r="A781" s="78" t="s">
        <v>910</v>
      </c>
      <c r="B781" s="76">
        <v>277</v>
      </c>
      <c r="C781" s="81">
        <v>0</v>
      </c>
      <c r="D781" s="82">
        <v>0</v>
      </c>
    </row>
    <row r="782" spans="1:4">
      <c r="A782" s="78" t="s">
        <v>911</v>
      </c>
      <c r="B782" s="76">
        <v>278</v>
      </c>
      <c r="C782" s="81">
        <v>0</v>
      </c>
      <c r="D782" s="82">
        <v>0</v>
      </c>
    </row>
    <row r="783" spans="1:4">
      <c r="A783" s="78" t="s">
        <v>912</v>
      </c>
      <c r="B783" s="76">
        <v>279</v>
      </c>
      <c r="C783" s="81">
        <v>0</v>
      </c>
      <c r="D783" s="82">
        <v>0</v>
      </c>
    </row>
    <row r="784" spans="1:4">
      <c r="A784" s="78" t="s">
        <v>913</v>
      </c>
      <c r="B784" s="76">
        <v>280</v>
      </c>
      <c r="C784" s="81">
        <v>0</v>
      </c>
      <c r="D784" s="82">
        <v>0</v>
      </c>
    </row>
    <row r="785" spans="1:4">
      <c r="A785" s="78" t="s">
        <v>914</v>
      </c>
      <c r="B785" s="76">
        <v>281</v>
      </c>
      <c r="C785" s="81">
        <v>0</v>
      </c>
      <c r="D785" s="82">
        <v>0</v>
      </c>
    </row>
    <row r="786" spans="1:4">
      <c r="A786" s="78" t="s">
        <v>915</v>
      </c>
      <c r="B786" s="76">
        <v>282</v>
      </c>
      <c r="C786" s="81">
        <v>0</v>
      </c>
      <c r="D786" s="82">
        <v>0</v>
      </c>
    </row>
    <row r="787" spans="1:4">
      <c r="A787" s="78" t="s">
        <v>916</v>
      </c>
      <c r="B787" s="76">
        <v>283</v>
      </c>
      <c r="C787" s="81">
        <v>0</v>
      </c>
      <c r="D787" s="82">
        <v>0</v>
      </c>
    </row>
    <row r="788" spans="1:4">
      <c r="A788" s="78" t="s">
        <v>917</v>
      </c>
      <c r="B788" s="76">
        <v>284</v>
      </c>
      <c r="C788" s="81">
        <v>0</v>
      </c>
      <c r="D788" s="82">
        <v>0</v>
      </c>
    </row>
    <row r="789" spans="1:4">
      <c r="A789" s="78" t="s">
        <v>918</v>
      </c>
      <c r="B789" s="76">
        <v>285</v>
      </c>
      <c r="C789" s="81">
        <v>0</v>
      </c>
      <c r="D789" s="82">
        <v>0</v>
      </c>
    </row>
    <row r="790" spans="1:4">
      <c r="A790" s="78" t="s">
        <v>919</v>
      </c>
      <c r="B790" s="76">
        <v>287</v>
      </c>
      <c r="C790" s="81">
        <v>0</v>
      </c>
      <c r="D790" s="82">
        <v>0</v>
      </c>
    </row>
    <row r="791" spans="1:4">
      <c r="A791" s="78" t="s">
        <v>920</v>
      </c>
      <c r="B791" s="76">
        <v>290</v>
      </c>
      <c r="C791" s="81">
        <v>0</v>
      </c>
      <c r="D791" s="82">
        <v>0</v>
      </c>
    </row>
    <row r="792" spans="1:4">
      <c r="A792" s="78" t="s">
        <v>921</v>
      </c>
      <c r="B792" s="76">
        <v>291</v>
      </c>
      <c r="C792" s="81">
        <v>0</v>
      </c>
      <c r="D792" s="82">
        <v>0</v>
      </c>
    </row>
    <row r="793" spans="1:4">
      <c r="A793" s="78" t="s">
        <v>922</v>
      </c>
      <c r="B793" s="76">
        <v>292</v>
      </c>
      <c r="C793" s="81">
        <v>0</v>
      </c>
      <c r="D793" s="82">
        <v>0</v>
      </c>
    </row>
    <row r="794" spans="1:4">
      <c r="A794" s="78" t="s">
        <v>923</v>
      </c>
      <c r="B794" s="76">
        <v>293</v>
      </c>
      <c r="C794" s="81">
        <v>0</v>
      </c>
      <c r="D794" s="82">
        <v>0</v>
      </c>
    </row>
    <row r="795" spans="1:4">
      <c r="A795" s="78" t="s">
        <v>924</v>
      </c>
      <c r="B795" s="76">
        <v>294</v>
      </c>
      <c r="C795" s="81">
        <v>0</v>
      </c>
      <c r="D795" s="82">
        <v>0</v>
      </c>
    </row>
    <row r="796" spans="1:4">
      <c r="A796" s="78" t="s">
        <v>925</v>
      </c>
      <c r="B796" s="76">
        <v>296</v>
      </c>
      <c r="C796" s="81">
        <v>0</v>
      </c>
      <c r="D796" s="82">
        <v>0</v>
      </c>
    </row>
    <row r="797" spans="1:4">
      <c r="A797" s="78" t="s">
        <v>926</v>
      </c>
      <c r="B797" s="76">
        <v>297</v>
      </c>
      <c r="C797" s="81">
        <v>0</v>
      </c>
      <c r="D797" s="82">
        <v>0</v>
      </c>
    </row>
    <row r="798" spans="1:4">
      <c r="A798" s="78" t="s">
        <v>927</v>
      </c>
      <c r="B798" s="76">
        <v>314</v>
      </c>
      <c r="C798" s="81">
        <v>0</v>
      </c>
      <c r="D798" s="82">
        <v>0</v>
      </c>
    </row>
    <row r="799" spans="1:4" ht="28.5">
      <c r="A799" s="78" t="s">
        <v>928</v>
      </c>
      <c r="B799" s="76">
        <v>316</v>
      </c>
      <c r="C799" s="81">
        <v>0</v>
      </c>
      <c r="D799" s="82">
        <v>0</v>
      </c>
    </row>
    <row r="800" spans="1:4">
      <c r="A800" s="78" t="s">
        <v>929</v>
      </c>
      <c r="B800" s="76">
        <v>317</v>
      </c>
      <c r="C800" s="81">
        <v>0</v>
      </c>
      <c r="D800" s="82">
        <v>0</v>
      </c>
    </row>
    <row r="801" spans="1:4">
      <c r="A801" s="78" t="s">
        <v>930</v>
      </c>
      <c r="B801" s="76">
        <v>318</v>
      </c>
      <c r="C801" s="81">
        <v>0</v>
      </c>
      <c r="D801" s="82">
        <v>0</v>
      </c>
    </row>
    <row r="802" spans="1:4">
      <c r="A802" s="78" t="s">
        <v>931</v>
      </c>
      <c r="B802" s="76">
        <v>319</v>
      </c>
      <c r="C802" s="81">
        <v>0</v>
      </c>
      <c r="D802" s="82">
        <v>0</v>
      </c>
    </row>
    <row r="803" spans="1:4">
      <c r="A803" s="78" t="s">
        <v>932</v>
      </c>
      <c r="B803" s="76">
        <v>320</v>
      </c>
      <c r="C803" s="81">
        <v>0</v>
      </c>
      <c r="D803" s="82">
        <v>0</v>
      </c>
    </row>
    <row r="804" spans="1:4">
      <c r="A804" s="78" t="s">
        <v>933</v>
      </c>
      <c r="B804" s="76">
        <v>321</v>
      </c>
      <c r="C804" s="81">
        <v>0</v>
      </c>
      <c r="D804" s="82">
        <v>0</v>
      </c>
    </row>
    <row r="805" spans="1:4">
      <c r="A805" s="78" t="s">
        <v>934</v>
      </c>
      <c r="B805" s="76">
        <v>322</v>
      </c>
      <c r="C805" s="81">
        <v>0</v>
      </c>
      <c r="D805" s="82">
        <v>0</v>
      </c>
    </row>
    <row r="806" spans="1:4">
      <c r="A806" s="78" t="s">
        <v>935</v>
      </c>
      <c r="B806" s="76">
        <v>323</v>
      </c>
      <c r="C806" s="81">
        <v>0</v>
      </c>
      <c r="D806" s="82">
        <v>0</v>
      </c>
    </row>
    <row r="807" spans="1:4">
      <c r="A807" s="78" t="s">
        <v>936</v>
      </c>
      <c r="B807" s="76">
        <v>324</v>
      </c>
      <c r="C807" s="81">
        <v>0</v>
      </c>
      <c r="D807" s="82">
        <v>0</v>
      </c>
    </row>
    <row r="808" spans="1:4">
      <c r="A808" s="78" t="s">
        <v>937</v>
      </c>
      <c r="B808" s="76">
        <v>325</v>
      </c>
      <c r="C808" s="81">
        <v>0</v>
      </c>
      <c r="D808" s="82">
        <v>0</v>
      </c>
    </row>
    <row r="809" spans="1:4">
      <c r="A809" s="78" t="s">
        <v>938</v>
      </c>
      <c r="B809" s="76">
        <v>326</v>
      </c>
      <c r="C809" s="81">
        <v>0</v>
      </c>
      <c r="D809" s="82">
        <v>0</v>
      </c>
    </row>
    <row r="810" spans="1:4">
      <c r="A810" s="78" t="s">
        <v>939</v>
      </c>
      <c r="B810" s="76">
        <v>327</v>
      </c>
      <c r="C810" s="81">
        <v>0</v>
      </c>
      <c r="D810" s="82">
        <v>0</v>
      </c>
    </row>
    <row r="811" spans="1:4">
      <c r="A811" s="78" t="s">
        <v>940</v>
      </c>
      <c r="B811" s="76">
        <v>332</v>
      </c>
      <c r="C811" s="81">
        <v>0</v>
      </c>
      <c r="D811" s="82">
        <v>0</v>
      </c>
    </row>
    <row r="812" spans="1:4">
      <c r="A812" s="78" t="s">
        <v>941</v>
      </c>
      <c r="B812" s="76">
        <v>336</v>
      </c>
      <c r="C812" s="81">
        <v>0</v>
      </c>
      <c r="D812" s="82">
        <v>0</v>
      </c>
    </row>
    <row r="813" spans="1:4">
      <c r="A813" s="78" t="s">
        <v>942</v>
      </c>
      <c r="B813" s="76">
        <v>337</v>
      </c>
      <c r="C813" s="81">
        <v>0</v>
      </c>
      <c r="D813" s="82">
        <v>0</v>
      </c>
    </row>
    <row r="814" spans="1:4">
      <c r="A814" s="78" t="s">
        <v>943</v>
      </c>
      <c r="B814" s="76">
        <v>338</v>
      </c>
      <c r="C814" s="81">
        <v>0</v>
      </c>
      <c r="D814" s="82">
        <v>0</v>
      </c>
    </row>
    <row r="815" spans="1:4">
      <c r="A815" s="78" t="s">
        <v>944</v>
      </c>
      <c r="B815" s="76">
        <v>339</v>
      </c>
      <c r="C815" s="81">
        <v>0</v>
      </c>
      <c r="D815" s="82">
        <v>0</v>
      </c>
    </row>
    <row r="816" spans="1:4">
      <c r="A816" s="78" t="s">
        <v>945</v>
      </c>
      <c r="B816" s="76">
        <v>340</v>
      </c>
      <c r="C816" s="81">
        <v>0</v>
      </c>
      <c r="D816" s="82">
        <v>0</v>
      </c>
    </row>
    <row r="817" spans="1:4">
      <c r="A817" s="78" t="s">
        <v>946</v>
      </c>
      <c r="B817" s="76">
        <v>342</v>
      </c>
      <c r="C817" s="81">
        <v>0</v>
      </c>
      <c r="D817" s="82">
        <v>0</v>
      </c>
    </row>
    <row r="818" spans="1:4">
      <c r="A818" s="78" t="s">
        <v>947</v>
      </c>
      <c r="B818" s="76">
        <v>344</v>
      </c>
      <c r="C818" s="81">
        <v>0</v>
      </c>
      <c r="D818" s="82">
        <v>0</v>
      </c>
    </row>
    <row r="819" spans="1:4">
      <c r="A819" s="78" t="s">
        <v>948</v>
      </c>
      <c r="B819" s="76">
        <v>353</v>
      </c>
      <c r="C819" s="81">
        <v>0</v>
      </c>
      <c r="D819" s="82">
        <v>0</v>
      </c>
    </row>
    <row r="820" spans="1:4">
      <c r="A820" s="78" t="s">
        <v>949</v>
      </c>
      <c r="B820" s="76">
        <v>354</v>
      </c>
      <c r="C820" s="81">
        <v>0</v>
      </c>
      <c r="D820" s="82">
        <v>0</v>
      </c>
    </row>
    <row r="821" spans="1:4">
      <c r="A821" s="78" t="s">
        <v>950</v>
      </c>
      <c r="B821" s="76">
        <v>357</v>
      </c>
      <c r="C821" s="81">
        <v>0</v>
      </c>
      <c r="D821" s="82">
        <v>0</v>
      </c>
    </row>
    <row r="822" spans="1:4">
      <c r="A822" s="78" t="s">
        <v>951</v>
      </c>
      <c r="B822" s="76">
        <v>361</v>
      </c>
      <c r="C822" s="81">
        <v>0</v>
      </c>
      <c r="D822" s="82">
        <v>0</v>
      </c>
    </row>
    <row r="823" spans="1:4">
      <c r="A823" s="78" t="s">
        <v>952</v>
      </c>
      <c r="B823" s="76">
        <v>363</v>
      </c>
      <c r="C823" s="81">
        <v>0</v>
      </c>
      <c r="D823" s="82">
        <v>0</v>
      </c>
    </row>
    <row r="824" spans="1:4">
      <c r="A824" s="78" t="s">
        <v>953</v>
      </c>
      <c r="B824" s="76">
        <v>365</v>
      </c>
      <c r="C824" s="81">
        <v>0</v>
      </c>
      <c r="D824" s="82">
        <v>0</v>
      </c>
    </row>
    <row r="825" spans="1:4">
      <c r="A825" s="78" t="s">
        <v>954</v>
      </c>
      <c r="B825" s="76">
        <v>376</v>
      </c>
      <c r="C825" s="81">
        <v>0</v>
      </c>
      <c r="D825" s="82">
        <v>0</v>
      </c>
    </row>
    <row r="826" spans="1:4">
      <c r="A826" s="78" t="s">
        <v>955</v>
      </c>
      <c r="B826" s="76">
        <v>380</v>
      </c>
      <c r="C826" s="81">
        <v>0</v>
      </c>
      <c r="D826" s="82">
        <v>0</v>
      </c>
    </row>
    <row r="827" spans="1:4">
      <c r="A827" s="78" t="s">
        <v>956</v>
      </c>
      <c r="B827" s="76">
        <v>381</v>
      </c>
      <c r="C827" s="81">
        <v>0</v>
      </c>
      <c r="D827" s="82">
        <v>0</v>
      </c>
    </row>
    <row r="828" spans="1:4">
      <c r="A828" s="78" t="s">
        <v>957</v>
      </c>
      <c r="B828" s="76">
        <v>382</v>
      </c>
      <c r="C828" s="81">
        <v>0</v>
      </c>
      <c r="D828" s="82">
        <v>0</v>
      </c>
    </row>
    <row r="829" spans="1:4">
      <c r="A829" s="78" t="s">
        <v>958</v>
      </c>
      <c r="B829" s="76">
        <v>385</v>
      </c>
      <c r="C829" s="81">
        <v>0</v>
      </c>
      <c r="D829" s="82">
        <v>0</v>
      </c>
    </row>
    <row r="830" spans="1:4">
      <c r="A830" s="78" t="s">
        <v>959</v>
      </c>
      <c r="B830" s="76">
        <v>386</v>
      </c>
      <c r="C830" s="81">
        <v>0</v>
      </c>
      <c r="D830" s="82">
        <v>0</v>
      </c>
    </row>
    <row r="831" spans="1:4">
      <c r="A831" s="78" t="s">
        <v>960</v>
      </c>
      <c r="B831" s="76">
        <v>387</v>
      </c>
      <c r="C831" s="81">
        <v>0</v>
      </c>
      <c r="D831" s="82">
        <v>0</v>
      </c>
    </row>
    <row r="832" spans="1:4">
      <c r="A832" s="78" t="s">
        <v>961</v>
      </c>
      <c r="B832" s="76">
        <v>388</v>
      </c>
      <c r="C832" s="81">
        <v>0</v>
      </c>
      <c r="D832" s="82">
        <v>0</v>
      </c>
    </row>
    <row r="833" spans="1:4">
      <c r="A833" s="78" t="s">
        <v>962</v>
      </c>
      <c r="B833" s="76">
        <v>391</v>
      </c>
      <c r="C833" s="81">
        <v>0</v>
      </c>
      <c r="D833" s="82">
        <v>0</v>
      </c>
    </row>
    <row r="834" spans="1:4">
      <c r="A834" s="78" t="s">
        <v>963</v>
      </c>
      <c r="B834" s="76">
        <v>392</v>
      </c>
      <c r="C834" s="81">
        <v>0</v>
      </c>
      <c r="D834" s="82">
        <v>0</v>
      </c>
    </row>
    <row r="835" spans="1:4">
      <c r="A835" s="78" t="s">
        <v>964</v>
      </c>
      <c r="B835" s="76">
        <v>393</v>
      </c>
      <c r="C835" s="81">
        <v>0</v>
      </c>
      <c r="D835" s="82">
        <v>0</v>
      </c>
    </row>
    <row r="836" spans="1:4">
      <c r="A836" s="78" t="s">
        <v>965</v>
      </c>
      <c r="B836" s="76">
        <v>394</v>
      </c>
      <c r="C836" s="81">
        <v>0</v>
      </c>
      <c r="D836" s="82">
        <v>0</v>
      </c>
    </row>
    <row r="837" spans="1:4">
      <c r="A837" s="78" t="s">
        <v>966</v>
      </c>
      <c r="B837" s="76">
        <v>396</v>
      </c>
      <c r="C837" s="81">
        <v>0</v>
      </c>
      <c r="D837" s="82">
        <v>0</v>
      </c>
    </row>
    <row r="838" spans="1:4">
      <c r="A838" s="78" t="s">
        <v>967</v>
      </c>
      <c r="B838" s="76">
        <v>397</v>
      </c>
      <c r="C838" s="81">
        <v>0</v>
      </c>
      <c r="D838" s="82">
        <v>0</v>
      </c>
    </row>
    <row r="839" spans="1:4">
      <c r="A839" s="78" t="s">
        <v>968</v>
      </c>
      <c r="B839" s="76">
        <v>398</v>
      </c>
      <c r="C839" s="81">
        <v>0</v>
      </c>
      <c r="D839" s="82">
        <v>0</v>
      </c>
    </row>
    <row r="840" spans="1:4">
      <c r="A840" s="78" t="s">
        <v>969</v>
      </c>
      <c r="B840" s="76">
        <v>401</v>
      </c>
      <c r="C840" s="81">
        <v>0</v>
      </c>
      <c r="D840" s="82">
        <v>0</v>
      </c>
    </row>
    <row r="841" spans="1:4" ht="28.5">
      <c r="A841" s="78" t="s">
        <v>970</v>
      </c>
      <c r="B841" s="76">
        <v>402</v>
      </c>
      <c r="C841" s="81">
        <v>0</v>
      </c>
      <c r="D841" s="82">
        <v>0</v>
      </c>
    </row>
    <row r="842" spans="1:4">
      <c r="A842" s="78" t="s">
        <v>971</v>
      </c>
      <c r="B842" s="76">
        <v>403</v>
      </c>
      <c r="C842" s="81">
        <v>0</v>
      </c>
      <c r="D842" s="82">
        <v>0</v>
      </c>
    </row>
    <row r="843" spans="1:4">
      <c r="A843" s="78" t="s">
        <v>972</v>
      </c>
      <c r="B843" s="76">
        <v>407</v>
      </c>
      <c r="C843" s="81">
        <v>0</v>
      </c>
      <c r="D843" s="82">
        <v>0</v>
      </c>
    </row>
    <row r="844" spans="1:4">
      <c r="A844" s="78" t="s">
        <v>973</v>
      </c>
      <c r="B844" s="76">
        <v>409</v>
      </c>
      <c r="C844" s="81">
        <v>0</v>
      </c>
      <c r="D844" s="82">
        <v>0</v>
      </c>
    </row>
    <row r="845" spans="1:4">
      <c r="A845" s="78" t="s">
        <v>974</v>
      </c>
      <c r="B845" s="76">
        <v>410</v>
      </c>
      <c r="C845" s="81">
        <v>0</v>
      </c>
      <c r="D845" s="82">
        <v>0</v>
      </c>
    </row>
    <row r="846" spans="1:4">
      <c r="A846" s="78" t="s">
        <v>975</v>
      </c>
      <c r="B846" s="76">
        <v>412</v>
      </c>
      <c r="C846" s="81">
        <v>0</v>
      </c>
      <c r="D846" s="82">
        <v>0</v>
      </c>
    </row>
    <row r="847" spans="1:4">
      <c r="A847" s="78" t="s">
        <v>976</v>
      </c>
      <c r="B847" s="76">
        <v>413</v>
      </c>
      <c r="C847" s="81">
        <v>0</v>
      </c>
      <c r="D847" s="82">
        <v>0</v>
      </c>
    </row>
    <row r="848" spans="1:4">
      <c r="A848" s="78" t="s">
        <v>977</v>
      </c>
      <c r="B848" s="76">
        <v>414</v>
      </c>
      <c r="C848" s="81">
        <v>0</v>
      </c>
      <c r="D848" s="82">
        <v>0</v>
      </c>
    </row>
    <row r="849" spans="1:4">
      <c r="A849" s="78" t="s">
        <v>978</v>
      </c>
      <c r="B849" s="76">
        <v>415</v>
      </c>
      <c r="C849" s="81">
        <v>0</v>
      </c>
      <c r="D849" s="82">
        <v>0</v>
      </c>
    </row>
    <row r="850" spans="1:4">
      <c r="A850" s="78" t="s">
        <v>979</v>
      </c>
      <c r="B850" s="76">
        <v>416</v>
      </c>
      <c r="C850" s="81">
        <v>0</v>
      </c>
      <c r="D850" s="82">
        <v>0</v>
      </c>
    </row>
    <row r="851" spans="1:4">
      <c r="A851" s="78" t="s">
        <v>980</v>
      </c>
      <c r="B851" s="76">
        <v>417</v>
      </c>
      <c r="C851" s="81">
        <v>0</v>
      </c>
      <c r="D851" s="82">
        <v>0</v>
      </c>
    </row>
    <row r="852" spans="1:4">
      <c r="A852" s="78" t="s">
        <v>981</v>
      </c>
      <c r="B852" s="76">
        <v>418</v>
      </c>
      <c r="C852" s="81">
        <v>0</v>
      </c>
      <c r="D852" s="82">
        <v>0</v>
      </c>
    </row>
    <row r="853" spans="1:4">
      <c r="A853" s="78" t="s">
        <v>982</v>
      </c>
      <c r="B853" s="76">
        <v>419</v>
      </c>
      <c r="C853" s="81">
        <v>0</v>
      </c>
      <c r="D853" s="82">
        <v>0</v>
      </c>
    </row>
    <row r="854" spans="1:4">
      <c r="A854" s="78" t="s">
        <v>983</v>
      </c>
      <c r="B854" s="76">
        <v>424</v>
      </c>
      <c r="C854" s="81">
        <v>0</v>
      </c>
      <c r="D854" s="82">
        <v>0</v>
      </c>
    </row>
    <row r="855" spans="1:4">
      <c r="A855" s="78" t="s">
        <v>984</v>
      </c>
      <c r="B855" s="76">
        <v>425</v>
      </c>
      <c r="C855" s="81">
        <v>0</v>
      </c>
      <c r="D855" s="82">
        <v>0</v>
      </c>
    </row>
    <row r="856" spans="1:4">
      <c r="A856" s="78" t="s">
        <v>985</v>
      </c>
      <c r="B856" s="76">
        <v>426</v>
      </c>
      <c r="C856" s="81">
        <v>0</v>
      </c>
      <c r="D856" s="82">
        <v>0</v>
      </c>
    </row>
    <row r="857" spans="1:4">
      <c r="A857" s="78" t="s">
        <v>986</v>
      </c>
      <c r="B857" s="76">
        <v>427</v>
      </c>
      <c r="C857" s="81">
        <v>0</v>
      </c>
      <c r="D857" s="82">
        <v>0</v>
      </c>
    </row>
    <row r="858" spans="1:4">
      <c r="A858" s="78" t="s">
        <v>987</v>
      </c>
      <c r="B858" s="76">
        <v>428</v>
      </c>
      <c r="C858" s="81">
        <v>0</v>
      </c>
      <c r="D858" s="82">
        <v>0</v>
      </c>
    </row>
    <row r="859" spans="1:4">
      <c r="A859" s="78" t="s">
        <v>988</v>
      </c>
      <c r="B859" s="76">
        <v>430</v>
      </c>
      <c r="C859" s="81">
        <v>0</v>
      </c>
      <c r="D859" s="82">
        <v>0</v>
      </c>
    </row>
    <row r="860" spans="1:4">
      <c r="A860" s="78" t="s">
        <v>989</v>
      </c>
      <c r="B860" s="76">
        <v>431</v>
      </c>
      <c r="C860" s="81">
        <v>0</v>
      </c>
      <c r="D860" s="82">
        <v>0</v>
      </c>
    </row>
    <row r="861" spans="1:4">
      <c r="A861" s="78" t="s">
        <v>990</v>
      </c>
      <c r="B861" s="76">
        <v>432</v>
      </c>
      <c r="C861" s="81">
        <v>0</v>
      </c>
      <c r="D861" s="82">
        <v>0</v>
      </c>
    </row>
    <row r="862" spans="1:4">
      <c r="A862" s="78" t="s">
        <v>991</v>
      </c>
      <c r="B862" s="76">
        <v>433</v>
      </c>
      <c r="C862" s="81">
        <v>0</v>
      </c>
      <c r="D862" s="82">
        <v>0</v>
      </c>
    </row>
    <row r="863" spans="1:4" ht="28.5">
      <c r="A863" s="78" t="s">
        <v>992</v>
      </c>
      <c r="B863" s="76">
        <v>435</v>
      </c>
      <c r="C863" s="81">
        <v>0</v>
      </c>
      <c r="D863" s="82">
        <v>0</v>
      </c>
    </row>
    <row r="864" spans="1:4">
      <c r="A864" s="78" t="s">
        <v>993</v>
      </c>
      <c r="B864" s="76">
        <v>436</v>
      </c>
      <c r="C864" s="81">
        <v>0</v>
      </c>
      <c r="D864" s="82">
        <v>0</v>
      </c>
    </row>
    <row r="865" spans="1:4">
      <c r="A865" s="78" t="s">
        <v>994</v>
      </c>
      <c r="B865" s="76">
        <v>437</v>
      </c>
      <c r="C865" s="81">
        <v>0</v>
      </c>
      <c r="D865" s="82">
        <v>0</v>
      </c>
    </row>
    <row r="866" spans="1:4">
      <c r="A866" s="78" t="s">
        <v>995</v>
      </c>
      <c r="B866" s="76">
        <v>438</v>
      </c>
      <c r="C866" s="81">
        <v>0</v>
      </c>
      <c r="D866" s="82">
        <v>0</v>
      </c>
    </row>
    <row r="867" spans="1:4">
      <c r="A867" s="78" t="s">
        <v>996</v>
      </c>
      <c r="B867" s="76">
        <v>439</v>
      </c>
      <c r="C867" s="81">
        <v>0</v>
      </c>
      <c r="D867" s="82">
        <v>0</v>
      </c>
    </row>
    <row r="868" spans="1:4">
      <c r="A868" s="78" t="s">
        <v>997</v>
      </c>
      <c r="B868" s="76">
        <v>440</v>
      </c>
      <c r="C868" s="81">
        <v>0</v>
      </c>
      <c r="D868" s="82">
        <v>0</v>
      </c>
    </row>
    <row r="869" spans="1:4">
      <c r="A869" s="78" t="s">
        <v>998</v>
      </c>
      <c r="B869" s="76">
        <v>441</v>
      </c>
      <c r="C869" s="81">
        <v>0</v>
      </c>
      <c r="D869" s="82">
        <v>0</v>
      </c>
    </row>
    <row r="870" spans="1:4">
      <c r="A870" s="78" t="s">
        <v>999</v>
      </c>
      <c r="B870" s="76">
        <v>442</v>
      </c>
      <c r="C870" s="81">
        <v>0</v>
      </c>
      <c r="D870" s="82">
        <v>0</v>
      </c>
    </row>
    <row r="871" spans="1:4">
      <c r="A871" s="78" t="s">
        <v>1000</v>
      </c>
      <c r="B871" s="76">
        <v>443</v>
      </c>
      <c r="C871" s="81">
        <v>0</v>
      </c>
      <c r="D871" s="82">
        <v>0</v>
      </c>
    </row>
    <row r="872" spans="1:4">
      <c r="A872" s="78" t="s">
        <v>1001</v>
      </c>
      <c r="B872" s="76">
        <v>444</v>
      </c>
      <c r="C872" s="81">
        <v>0</v>
      </c>
      <c r="D872" s="82">
        <v>0</v>
      </c>
    </row>
    <row r="873" spans="1:4">
      <c r="A873" s="78" t="s">
        <v>1002</v>
      </c>
      <c r="B873" s="76">
        <v>445</v>
      </c>
      <c r="C873" s="81">
        <v>0</v>
      </c>
      <c r="D873" s="82">
        <v>0</v>
      </c>
    </row>
    <row r="874" spans="1:4">
      <c r="A874" s="78" t="s">
        <v>1003</v>
      </c>
      <c r="B874" s="76">
        <v>446</v>
      </c>
      <c r="C874" s="81">
        <v>0</v>
      </c>
      <c r="D874" s="82">
        <v>0</v>
      </c>
    </row>
    <row r="875" spans="1:4">
      <c r="A875" s="78" t="s">
        <v>1004</v>
      </c>
      <c r="B875" s="76">
        <v>448</v>
      </c>
      <c r="C875" s="81">
        <v>0</v>
      </c>
      <c r="D875" s="82">
        <v>0</v>
      </c>
    </row>
    <row r="876" spans="1:4">
      <c r="A876" s="78" t="s">
        <v>1005</v>
      </c>
      <c r="B876" s="76">
        <v>450</v>
      </c>
      <c r="C876" s="81">
        <v>0</v>
      </c>
      <c r="D876" s="82">
        <v>0</v>
      </c>
    </row>
    <row r="877" spans="1:4">
      <c r="A877" s="78" t="s">
        <v>1006</v>
      </c>
      <c r="B877" s="76">
        <v>451</v>
      </c>
      <c r="C877" s="81">
        <v>0</v>
      </c>
      <c r="D877" s="82">
        <v>0</v>
      </c>
    </row>
    <row r="878" spans="1:4">
      <c r="A878" s="78" t="s">
        <v>1007</v>
      </c>
      <c r="B878" s="76">
        <v>457</v>
      </c>
      <c r="C878" s="81">
        <v>0</v>
      </c>
      <c r="D878" s="82">
        <v>0</v>
      </c>
    </row>
    <row r="879" spans="1:4" ht="28.5">
      <c r="A879" s="78" t="s">
        <v>1008</v>
      </c>
      <c r="B879" s="76">
        <v>466</v>
      </c>
      <c r="C879" s="81">
        <v>0</v>
      </c>
      <c r="D879" s="82">
        <v>0</v>
      </c>
    </row>
    <row r="880" spans="1:4">
      <c r="A880" s="78" t="s">
        <v>1009</v>
      </c>
      <c r="B880" s="76">
        <v>467</v>
      </c>
      <c r="C880" s="81">
        <v>0</v>
      </c>
      <c r="D880" s="82">
        <v>0</v>
      </c>
    </row>
    <row r="881" spans="1:4">
      <c r="A881" s="78" t="s">
        <v>1010</v>
      </c>
      <c r="B881" s="76">
        <v>472</v>
      </c>
      <c r="C881" s="81">
        <v>0</v>
      </c>
      <c r="D881" s="82">
        <v>0</v>
      </c>
    </row>
    <row r="882" spans="1:4">
      <c r="A882" s="78" t="s">
        <v>1011</v>
      </c>
      <c r="B882" s="76">
        <v>474</v>
      </c>
      <c r="C882" s="81">
        <v>0</v>
      </c>
      <c r="D882" s="82">
        <v>0</v>
      </c>
    </row>
    <row r="883" spans="1:4">
      <c r="A883" s="78" t="s">
        <v>1012</v>
      </c>
      <c r="B883" s="76">
        <v>476</v>
      </c>
      <c r="C883" s="81">
        <v>0</v>
      </c>
      <c r="D883" s="82">
        <v>0</v>
      </c>
    </row>
    <row r="884" spans="1:4">
      <c r="A884" s="78" t="s">
        <v>1013</v>
      </c>
      <c r="B884" s="76">
        <v>479</v>
      </c>
      <c r="C884" s="81">
        <v>0</v>
      </c>
      <c r="D884" s="82">
        <v>0</v>
      </c>
    </row>
    <row r="885" spans="1:4">
      <c r="A885" s="78" t="s">
        <v>1014</v>
      </c>
      <c r="B885" s="76">
        <v>480</v>
      </c>
      <c r="C885" s="81">
        <v>0</v>
      </c>
      <c r="D885" s="82">
        <v>0</v>
      </c>
    </row>
    <row r="886" spans="1:4">
      <c r="A886" s="78" t="s">
        <v>1015</v>
      </c>
      <c r="B886" s="76">
        <v>481</v>
      </c>
      <c r="C886" s="81">
        <v>0</v>
      </c>
      <c r="D886" s="82">
        <v>0</v>
      </c>
    </row>
    <row r="887" spans="1:4">
      <c r="A887" s="78" t="s">
        <v>1016</v>
      </c>
      <c r="B887" s="76">
        <v>482</v>
      </c>
      <c r="C887" s="81">
        <v>0</v>
      </c>
      <c r="D887" s="82">
        <v>0</v>
      </c>
    </row>
    <row r="888" spans="1:4">
      <c r="A888" s="78" t="s">
        <v>1017</v>
      </c>
      <c r="B888" s="76">
        <v>483</v>
      </c>
      <c r="C888" s="81">
        <v>0</v>
      </c>
      <c r="D888" s="82">
        <v>0</v>
      </c>
    </row>
    <row r="889" spans="1:4">
      <c r="A889" s="78" t="s">
        <v>1018</v>
      </c>
      <c r="B889" s="76">
        <v>484</v>
      </c>
      <c r="C889" s="81">
        <v>0</v>
      </c>
      <c r="D889" s="82">
        <v>0</v>
      </c>
    </row>
    <row r="890" spans="1:4">
      <c r="A890" s="78" t="s">
        <v>1019</v>
      </c>
      <c r="B890" s="76">
        <v>487</v>
      </c>
      <c r="C890" s="81">
        <v>0</v>
      </c>
      <c r="D890" s="82">
        <v>0</v>
      </c>
    </row>
    <row r="891" spans="1:4">
      <c r="A891" s="78" t="s">
        <v>1020</v>
      </c>
      <c r="B891" s="76">
        <v>489</v>
      </c>
      <c r="C891" s="81">
        <v>0</v>
      </c>
      <c r="D891" s="82">
        <v>0</v>
      </c>
    </row>
    <row r="892" spans="1:4">
      <c r="A892" s="78" t="s">
        <v>1021</v>
      </c>
      <c r="B892" s="76">
        <v>494</v>
      </c>
      <c r="C892" s="81">
        <v>0</v>
      </c>
      <c r="D892" s="82">
        <v>0</v>
      </c>
    </row>
    <row r="893" spans="1:4">
      <c r="A893" s="78" t="s">
        <v>1022</v>
      </c>
      <c r="B893" s="76">
        <v>495</v>
      </c>
      <c r="C893" s="81">
        <v>0</v>
      </c>
      <c r="D893" s="82">
        <v>0</v>
      </c>
    </row>
    <row r="894" spans="1:4">
      <c r="A894" s="78" t="s">
        <v>1023</v>
      </c>
      <c r="B894" s="76">
        <v>499</v>
      </c>
      <c r="C894" s="81">
        <v>0</v>
      </c>
      <c r="D894" s="82">
        <v>0</v>
      </c>
    </row>
    <row r="895" spans="1:4">
      <c r="A895" s="78" t="s">
        <v>1024</v>
      </c>
      <c r="B895" s="76">
        <v>505</v>
      </c>
      <c r="C895" s="81">
        <v>0</v>
      </c>
      <c r="D895" s="82">
        <v>0</v>
      </c>
    </row>
    <row r="896" spans="1:4">
      <c r="A896" s="78" t="s">
        <v>1025</v>
      </c>
      <c r="B896" s="76">
        <v>508</v>
      </c>
      <c r="C896" s="81">
        <v>0</v>
      </c>
      <c r="D896" s="82">
        <v>0</v>
      </c>
    </row>
    <row r="897" spans="1:4">
      <c r="A897" s="78" t="s">
        <v>1026</v>
      </c>
      <c r="B897" s="76">
        <v>512</v>
      </c>
      <c r="C897" s="81">
        <v>0</v>
      </c>
      <c r="D897" s="82">
        <v>0</v>
      </c>
    </row>
    <row r="898" spans="1:4">
      <c r="A898" s="78" t="s">
        <v>1027</v>
      </c>
      <c r="B898" s="76">
        <v>513</v>
      </c>
      <c r="C898" s="81">
        <v>0</v>
      </c>
      <c r="D898" s="82">
        <v>0</v>
      </c>
    </row>
    <row r="899" spans="1:4">
      <c r="A899" s="78" t="s">
        <v>1028</v>
      </c>
      <c r="B899" s="76">
        <v>514</v>
      </c>
      <c r="C899" s="81">
        <v>0</v>
      </c>
      <c r="D899" s="82">
        <v>0</v>
      </c>
    </row>
    <row r="900" spans="1:4">
      <c r="A900" s="78" t="s">
        <v>1029</v>
      </c>
      <c r="B900" s="76">
        <v>515</v>
      </c>
      <c r="C900" s="81">
        <v>0</v>
      </c>
      <c r="D900" s="82">
        <v>0</v>
      </c>
    </row>
    <row r="901" spans="1:4">
      <c r="A901" s="78" t="s">
        <v>1030</v>
      </c>
      <c r="B901" s="76">
        <v>516</v>
      </c>
      <c r="C901" s="81">
        <v>0</v>
      </c>
      <c r="D901" s="82">
        <v>0</v>
      </c>
    </row>
    <row r="902" spans="1:4">
      <c r="A902" s="78" t="s">
        <v>1031</v>
      </c>
      <c r="B902" s="76">
        <v>517</v>
      </c>
      <c r="C902" s="81">
        <v>0</v>
      </c>
      <c r="D902" s="82">
        <v>0</v>
      </c>
    </row>
    <row r="903" spans="1:4">
      <c r="A903" s="78" t="s">
        <v>1032</v>
      </c>
      <c r="B903" s="76">
        <v>518</v>
      </c>
      <c r="C903" s="81">
        <v>0</v>
      </c>
      <c r="D903" s="82">
        <v>0</v>
      </c>
    </row>
    <row r="904" spans="1:4">
      <c r="A904" s="78" t="s">
        <v>1033</v>
      </c>
      <c r="B904" s="76">
        <v>519</v>
      </c>
      <c r="C904" s="81">
        <v>0</v>
      </c>
      <c r="D904" s="82">
        <v>0</v>
      </c>
    </row>
    <row r="905" spans="1:4">
      <c r="A905" s="78" t="s">
        <v>1034</v>
      </c>
      <c r="B905" s="76">
        <v>520</v>
      </c>
      <c r="C905" s="81">
        <v>0</v>
      </c>
      <c r="D905" s="82">
        <v>0</v>
      </c>
    </row>
    <row r="906" spans="1:4">
      <c r="A906" s="78" t="s">
        <v>1035</v>
      </c>
      <c r="B906" s="76">
        <v>521</v>
      </c>
      <c r="C906" s="81">
        <v>0</v>
      </c>
      <c r="D906" s="82">
        <v>0</v>
      </c>
    </row>
    <row r="907" spans="1:4" ht="28.5">
      <c r="A907" s="78" t="s">
        <v>1036</v>
      </c>
      <c r="B907" s="76">
        <v>531</v>
      </c>
      <c r="C907" s="81">
        <v>0</v>
      </c>
      <c r="D907" s="82">
        <v>0</v>
      </c>
    </row>
    <row r="908" spans="1:4">
      <c r="A908" s="78" t="s">
        <v>1037</v>
      </c>
      <c r="B908" s="76">
        <v>534</v>
      </c>
      <c r="C908" s="81">
        <v>0</v>
      </c>
      <c r="D908" s="82">
        <v>0</v>
      </c>
    </row>
    <row r="909" spans="1:4">
      <c r="A909" s="78" t="s">
        <v>1038</v>
      </c>
      <c r="B909" s="76">
        <v>537</v>
      </c>
      <c r="C909" s="81">
        <v>0</v>
      </c>
      <c r="D909" s="82">
        <v>0</v>
      </c>
    </row>
    <row r="910" spans="1:4">
      <c r="A910" s="78" t="s">
        <v>1039</v>
      </c>
      <c r="B910" s="76">
        <v>584</v>
      </c>
      <c r="C910" s="81">
        <v>0</v>
      </c>
      <c r="D910" s="82">
        <v>0</v>
      </c>
    </row>
    <row r="911" spans="1:4">
      <c r="A911" s="78" t="s">
        <v>1040</v>
      </c>
      <c r="B911" s="76">
        <v>585</v>
      </c>
      <c r="C911" s="81">
        <v>0</v>
      </c>
      <c r="D911" s="82">
        <v>0</v>
      </c>
    </row>
    <row r="912" spans="1:4">
      <c r="A912" s="78" t="s">
        <v>1041</v>
      </c>
      <c r="B912" s="76">
        <v>586</v>
      </c>
      <c r="C912" s="81">
        <v>0</v>
      </c>
      <c r="D912" s="82">
        <v>0</v>
      </c>
    </row>
    <row r="913" spans="1:4">
      <c r="A913" s="78" t="s">
        <v>1042</v>
      </c>
      <c r="B913" s="76">
        <v>622</v>
      </c>
      <c r="C913" s="81">
        <v>0</v>
      </c>
      <c r="D913" s="82">
        <v>0</v>
      </c>
    </row>
    <row r="914" spans="1:4">
      <c r="A914" s="78" t="s">
        <v>1043</v>
      </c>
      <c r="B914" s="76">
        <v>626</v>
      </c>
      <c r="C914" s="81">
        <v>0</v>
      </c>
      <c r="D914" s="82">
        <v>0</v>
      </c>
    </row>
    <row r="915" spans="1:4">
      <c r="A915" s="78" t="s">
        <v>1044</v>
      </c>
      <c r="B915" s="76">
        <v>632</v>
      </c>
      <c r="C915" s="81">
        <v>0</v>
      </c>
      <c r="D915" s="82">
        <v>0</v>
      </c>
    </row>
    <row r="916" spans="1:4">
      <c r="A916" s="78" t="s">
        <v>1045</v>
      </c>
      <c r="B916" s="76">
        <v>682</v>
      </c>
      <c r="C916" s="81">
        <v>0</v>
      </c>
      <c r="D916" s="82">
        <v>0</v>
      </c>
    </row>
    <row r="917" spans="1:4">
      <c r="A917" s="78" t="s">
        <v>1046</v>
      </c>
      <c r="B917" s="76">
        <v>692</v>
      </c>
      <c r="C917" s="81">
        <v>0</v>
      </c>
      <c r="D917" s="82">
        <v>0</v>
      </c>
    </row>
    <row r="918" spans="1:4">
      <c r="A918" s="78" t="s">
        <v>1047</v>
      </c>
      <c r="B918" s="76">
        <v>714</v>
      </c>
      <c r="C918" s="81">
        <v>0</v>
      </c>
      <c r="D918" s="82">
        <v>0</v>
      </c>
    </row>
    <row r="919" spans="1:4">
      <c r="A919" s="78" t="s">
        <v>1048</v>
      </c>
      <c r="B919" s="76">
        <v>745</v>
      </c>
      <c r="C919" s="81">
        <v>0</v>
      </c>
      <c r="D919" s="82">
        <v>0</v>
      </c>
    </row>
    <row r="920" spans="1:4" ht="42.75">
      <c r="A920" s="78" t="s">
        <v>1049</v>
      </c>
      <c r="B920" s="76">
        <v>751</v>
      </c>
      <c r="C920" s="81">
        <v>0</v>
      </c>
      <c r="D920" s="82">
        <v>0</v>
      </c>
    </row>
    <row r="921" spans="1:4" ht="28.5">
      <c r="A921" s="78" t="s">
        <v>1050</v>
      </c>
      <c r="B921" s="76">
        <v>763</v>
      </c>
      <c r="C921" s="81">
        <v>0</v>
      </c>
      <c r="D921" s="82">
        <v>0</v>
      </c>
    </row>
    <row r="922" spans="1:4">
      <c r="A922" s="78" t="s">
        <v>1051</v>
      </c>
      <c r="B922" s="76">
        <v>776</v>
      </c>
      <c r="C922" s="81">
        <v>0</v>
      </c>
      <c r="D922" s="82">
        <v>0</v>
      </c>
    </row>
    <row r="923" spans="1:4">
      <c r="A923" s="78" t="s">
        <v>1052</v>
      </c>
      <c r="B923" s="76">
        <v>790</v>
      </c>
      <c r="C923" s="81">
        <v>0</v>
      </c>
      <c r="D923" s="82">
        <v>0</v>
      </c>
    </row>
    <row r="924" spans="1:4">
      <c r="A924" s="78" t="s">
        <v>1053</v>
      </c>
      <c r="B924" s="76">
        <v>809</v>
      </c>
      <c r="C924" s="81">
        <v>0</v>
      </c>
      <c r="D924" s="82">
        <v>0</v>
      </c>
    </row>
    <row r="925" spans="1:4">
      <c r="A925" s="78" t="s">
        <v>1054</v>
      </c>
      <c r="B925" s="76">
        <v>810</v>
      </c>
      <c r="C925" s="81">
        <v>0</v>
      </c>
      <c r="D925" s="82">
        <v>0</v>
      </c>
    </row>
    <row r="926" spans="1:4" ht="28.5">
      <c r="A926" s="78" t="s">
        <v>1055</v>
      </c>
      <c r="B926" s="76">
        <v>813</v>
      </c>
      <c r="C926" s="81">
        <v>0</v>
      </c>
      <c r="D926" s="82">
        <v>0</v>
      </c>
    </row>
    <row r="927" spans="1:4">
      <c r="A927" s="78" t="s">
        <v>1056</v>
      </c>
      <c r="B927" s="76">
        <v>814</v>
      </c>
      <c r="C927" s="81">
        <v>0</v>
      </c>
      <c r="D927" s="82">
        <v>0</v>
      </c>
    </row>
    <row r="928" spans="1:4">
      <c r="A928" s="78" t="s">
        <v>1057</v>
      </c>
      <c r="B928" s="76">
        <v>815</v>
      </c>
      <c r="C928" s="81">
        <v>0</v>
      </c>
      <c r="D928" s="82">
        <v>0</v>
      </c>
    </row>
    <row r="929" spans="1:4">
      <c r="A929" s="78" t="s">
        <v>1058</v>
      </c>
      <c r="B929" s="76">
        <v>816</v>
      </c>
      <c r="C929" s="81">
        <v>0</v>
      </c>
      <c r="D929" s="82">
        <v>0</v>
      </c>
    </row>
    <row r="930" spans="1:4">
      <c r="A930" s="78" t="s">
        <v>1059</v>
      </c>
      <c r="B930" s="76">
        <v>818</v>
      </c>
      <c r="C930" s="81">
        <v>0</v>
      </c>
      <c r="D930" s="82">
        <v>0</v>
      </c>
    </row>
    <row r="931" spans="1:4">
      <c r="A931" s="78" t="s">
        <v>1060</v>
      </c>
      <c r="B931" s="76">
        <v>819</v>
      </c>
      <c r="C931" s="81">
        <v>0</v>
      </c>
      <c r="D931" s="82">
        <v>0</v>
      </c>
    </row>
    <row r="932" spans="1:4">
      <c r="A932" s="78" t="s">
        <v>1061</v>
      </c>
      <c r="B932" s="76">
        <v>820</v>
      </c>
      <c r="C932" s="81">
        <v>0</v>
      </c>
      <c r="D932" s="82">
        <v>0</v>
      </c>
    </row>
    <row r="933" spans="1:4">
      <c r="A933" s="78" t="s">
        <v>1062</v>
      </c>
      <c r="B933" s="76">
        <v>821</v>
      </c>
      <c r="C933" s="81">
        <v>0</v>
      </c>
      <c r="D933" s="82">
        <v>0</v>
      </c>
    </row>
    <row r="934" spans="1:4">
      <c r="A934" s="78" t="s">
        <v>1063</v>
      </c>
      <c r="B934" s="76">
        <v>822</v>
      </c>
      <c r="C934" s="81">
        <v>0</v>
      </c>
      <c r="D934" s="82">
        <v>0</v>
      </c>
    </row>
    <row r="935" spans="1:4">
      <c r="A935" s="78" t="s">
        <v>1064</v>
      </c>
      <c r="B935" s="76">
        <v>823</v>
      </c>
      <c r="C935" s="81">
        <v>0</v>
      </c>
      <c r="D935" s="82">
        <v>0</v>
      </c>
    </row>
    <row r="936" spans="1:4">
      <c r="A936" s="78" t="s">
        <v>1065</v>
      </c>
      <c r="B936" s="76">
        <v>825</v>
      </c>
      <c r="C936" s="81">
        <v>0</v>
      </c>
      <c r="D936" s="82">
        <v>0</v>
      </c>
    </row>
    <row r="937" spans="1:4">
      <c r="A937" s="78" t="s">
        <v>1066</v>
      </c>
      <c r="B937" s="76">
        <v>827</v>
      </c>
      <c r="C937" s="81">
        <v>0</v>
      </c>
      <c r="D937" s="82">
        <v>0</v>
      </c>
    </row>
    <row r="938" spans="1:4">
      <c r="A938" s="78" t="s">
        <v>1067</v>
      </c>
      <c r="B938" s="76">
        <v>829</v>
      </c>
      <c r="C938" s="81">
        <v>0</v>
      </c>
      <c r="D938" s="82">
        <v>0</v>
      </c>
    </row>
    <row r="939" spans="1:4">
      <c r="A939" s="78" t="s">
        <v>1068</v>
      </c>
      <c r="B939" s="76">
        <v>830</v>
      </c>
      <c r="C939" s="81">
        <v>0</v>
      </c>
      <c r="D939" s="82">
        <v>0</v>
      </c>
    </row>
    <row r="940" spans="1:4">
      <c r="A940" s="78" t="s">
        <v>1069</v>
      </c>
      <c r="B940" s="76">
        <v>831</v>
      </c>
      <c r="C940" s="81">
        <v>0</v>
      </c>
      <c r="D940" s="82">
        <v>0</v>
      </c>
    </row>
    <row r="941" spans="1:4">
      <c r="A941" s="78" t="s">
        <v>1070</v>
      </c>
      <c r="B941" s="76">
        <v>839</v>
      </c>
      <c r="C941" s="81">
        <v>0</v>
      </c>
      <c r="D941" s="82">
        <v>0</v>
      </c>
    </row>
    <row r="942" spans="1:4">
      <c r="A942" s="78" t="s">
        <v>1071</v>
      </c>
      <c r="B942" s="76">
        <v>841</v>
      </c>
      <c r="C942" s="81">
        <v>0</v>
      </c>
      <c r="D942" s="82">
        <v>0</v>
      </c>
    </row>
    <row r="943" spans="1:4">
      <c r="A943" s="78" t="s">
        <v>1072</v>
      </c>
      <c r="B943" s="76">
        <v>843</v>
      </c>
      <c r="C943" s="81">
        <v>0</v>
      </c>
      <c r="D943" s="82">
        <v>0</v>
      </c>
    </row>
    <row r="944" spans="1:4" ht="28.5">
      <c r="A944" s="78" t="s">
        <v>1073</v>
      </c>
      <c r="B944" s="76">
        <v>844</v>
      </c>
      <c r="C944" s="81">
        <v>0</v>
      </c>
      <c r="D944" s="82">
        <v>0</v>
      </c>
    </row>
    <row r="945" spans="1:4">
      <c r="A945" s="78" t="s">
        <v>1074</v>
      </c>
      <c r="B945" s="76">
        <v>846</v>
      </c>
      <c r="C945" s="81">
        <v>0</v>
      </c>
      <c r="D945" s="82">
        <v>0</v>
      </c>
    </row>
    <row r="946" spans="1:4">
      <c r="A946" s="78" t="s">
        <v>1075</v>
      </c>
      <c r="B946" s="76">
        <v>905</v>
      </c>
      <c r="C946" s="81">
        <v>0</v>
      </c>
      <c r="D946" s="82">
        <v>0</v>
      </c>
    </row>
    <row r="947" spans="1:4">
      <c r="A947" s="78" t="s">
        <v>1076</v>
      </c>
      <c r="B947" s="76">
        <v>917</v>
      </c>
      <c r="C947" s="81">
        <v>0</v>
      </c>
      <c r="D947" s="82">
        <v>0</v>
      </c>
    </row>
    <row r="948" spans="1:4">
      <c r="A948" s="78" t="s">
        <v>1077</v>
      </c>
      <c r="B948" s="76">
        <v>925</v>
      </c>
      <c r="C948" s="81">
        <v>0</v>
      </c>
      <c r="D948" s="82">
        <v>0</v>
      </c>
    </row>
    <row r="949" spans="1:4">
      <c r="A949" s="78" t="s">
        <v>1078</v>
      </c>
      <c r="B949" s="76">
        <v>977</v>
      </c>
      <c r="C949" s="81">
        <v>0</v>
      </c>
      <c r="D949" s="82">
        <v>0</v>
      </c>
    </row>
    <row r="950" spans="1:4">
      <c r="A950" s="78" t="s">
        <v>1079</v>
      </c>
      <c r="B950" s="76">
        <v>987</v>
      </c>
      <c r="C950" s="81">
        <v>0</v>
      </c>
      <c r="D950" s="82">
        <v>0</v>
      </c>
    </row>
    <row r="951" spans="1:4">
      <c r="A951" s="78" t="s">
        <v>1080</v>
      </c>
      <c r="B951" s="76">
        <v>1020</v>
      </c>
      <c r="C951" s="81">
        <v>0</v>
      </c>
      <c r="D951" s="82">
        <v>0</v>
      </c>
    </row>
    <row r="952" spans="1:4">
      <c r="A952" s="78" t="s">
        <v>1081</v>
      </c>
      <c r="B952" s="76">
        <v>2181</v>
      </c>
      <c r="C952" s="81">
        <v>0</v>
      </c>
      <c r="D952" s="82">
        <v>0</v>
      </c>
    </row>
    <row r="953" spans="1:4">
      <c r="A953" s="78" t="s">
        <v>1082</v>
      </c>
      <c r="B953" s="76">
        <v>2182</v>
      </c>
      <c r="C953" s="81">
        <v>0</v>
      </c>
      <c r="D953" s="82">
        <v>0</v>
      </c>
    </row>
    <row r="954" spans="1:4">
      <c r="A954" s="78" t="s">
        <v>1083</v>
      </c>
      <c r="B954" s="76">
        <v>2185</v>
      </c>
      <c r="C954" s="81">
        <v>0</v>
      </c>
      <c r="D954" s="82">
        <v>0</v>
      </c>
    </row>
    <row r="955" spans="1:4">
      <c r="A955" s="78" t="s">
        <v>1084</v>
      </c>
      <c r="B955" s="76">
        <v>2191</v>
      </c>
      <c r="C955" s="81">
        <v>0</v>
      </c>
      <c r="D955" s="82">
        <v>0</v>
      </c>
    </row>
    <row r="956" spans="1:4">
      <c r="A956" s="78" t="s">
        <v>1085</v>
      </c>
      <c r="B956" s="76">
        <v>2192</v>
      </c>
      <c r="C956" s="81">
        <v>0</v>
      </c>
      <c r="D956" s="82">
        <v>0</v>
      </c>
    </row>
    <row r="957" spans="1:4">
      <c r="A957" s="78" t="s">
        <v>1086</v>
      </c>
      <c r="B957" s="76">
        <v>2193</v>
      </c>
      <c r="C957" s="81">
        <v>0</v>
      </c>
      <c r="D957" s="82">
        <v>0</v>
      </c>
    </row>
    <row r="958" spans="1:4">
      <c r="A958" s="78" t="s">
        <v>1087</v>
      </c>
      <c r="B958" s="76">
        <v>2194</v>
      </c>
      <c r="C958" s="81">
        <v>0</v>
      </c>
      <c r="D958" s="82">
        <v>0</v>
      </c>
    </row>
    <row r="959" spans="1:4">
      <c r="A959" s="78" t="s">
        <v>1088</v>
      </c>
      <c r="B959" s="76">
        <v>2195</v>
      </c>
      <c r="C959" s="81">
        <v>0</v>
      </c>
      <c r="D959" s="82">
        <v>0</v>
      </c>
    </row>
    <row r="960" spans="1:4">
      <c r="A960" s="78" t="s">
        <v>1089</v>
      </c>
      <c r="B960" s="76">
        <v>2204</v>
      </c>
      <c r="C960" s="81">
        <v>0</v>
      </c>
      <c r="D960" s="82">
        <v>0</v>
      </c>
    </row>
    <row r="961" spans="1:4">
      <c r="A961" s="78" t="s">
        <v>1090</v>
      </c>
      <c r="B961" s="76">
        <v>3020</v>
      </c>
      <c r="C961" s="81">
        <v>0</v>
      </c>
      <c r="D961" s="82">
        <v>0</v>
      </c>
    </row>
    <row r="962" spans="1:4">
      <c r="A962" s="78" t="s">
        <v>1091</v>
      </c>
      <c r="B962" s="76">
        <v>3021</v>
      </c>
      <c r="C962" s="81">
        <v>0</v>
      </c>
      <c r="D962" s="82">
        <v>0</v>
      </c>
    </row>
    <row r="963" spans="1:4">
      <c r="A963" s="78" t="s">
        <v>1092</v>
      </c>
      <c r="B963" s="76">
        <v>3024</v>
      </c>
      <c r="C963" s="81">
        <v>0</v>
      </c>
      <c r="D963" s="82">
        <v>0</v>
      </c>
    </row>
    <row r="964" spans="1:4">
      <c r="A964" s="78" t="s">
        <v>1093</v>
      </c>
      <c r="B964" s="76">
        <v>3025</v>
      </c>
      <c r="C964" s="81">
        <v>0</v>
      </c>
      <c r="D964" s="82">
        <v>0</v>
      </c>
    </row>
    <row r="965" spans="1:4">
      <c r="A965" s="78" t="s">
        <v>1094</v>
      </c>
      <c r="B965" s="76">
        <v>3026</v>
      </c>
      <c r="C965" s="81">
        <v>0</v>
      </c>
      <c r="D965" s="82">
        <v>0</v>
      </c>
    </row>
    <row r="966" spans="1:4">
      <c r="A966" s="78" t="s">
        <v>1095</v>
      </c>
      <c r="B966" s="76">
        <v>3028</v>
      </c>
      <c r="C966" s="81">
        <v>0</v>
      </c>
      <c r="D966" s="82">
        <v>0</v>
      </c>
    </row>
    <row r="967" spans="1:4">
      <c r="A967" s="78" t="s">
        <v>1096</v>
      </c>
      <c r="B967" s="76">
        <v>3029</v>
      </c>
      <c r="C967" s="81">
        <v>0</v>
      </c>
      <c r="D967" s="82">
        <v>0</v>
      </c>
    </row>
    <row r="968" spans="1:4">
      <c r="A968" s="78" t="s">
        <v>1097</v>
      </c>
      <c r="B968" s="76">
        <v>3032</v>
      </c>
      <c r="C968" s="81">
        <v>0</v>
      </c>
      <c r="D968" s="82">
        <v>0</v>
      </c>
    </row>
    <row r="969" spans="1:4">
      <c r="A969" s="78" t="s">
        <v>1098</v>
      </c>
      <c r="B969" s="76">
        <v>3033</v>
      </c>
      <c r="C969" s="81">
        <v>0</v>
      </c>
      <c r="D969" s="82">
        <v>0</v>
      </c>
    </row>
    <row r="970" spans="1:4">
      <c r="A970" s="78" t="s">
        <v>1099</v>
      </c>
      <c r="B970" s="76">
        <v>3034</v>
      </c>
      <c r="C970" s="81">
        <v>0</v>
      </c>
      <c r="D970" s="82">
        <v>0</v>
      </c>
    </row>
    <row r="971" spans="1:4">
      <c r="A971" s="78" t="s">
        <v>1100</v>
      </c>
      <c r="B971" s="76">
        <v>3035</v>
      </c>
      <c r="C971" s="81">
        <v>0</v>
      </c>
      <c r="D971" s="82">
        <v>0</v>
      </c>
    </row>
    <row r="972" spans="1:4">
      <c r="A972" s="78" t="s">
        <v>1101</v>
      </c>
      <c r="B972" s="76">
        <v>3036</v>
      </c>
      <c r="C972" s="81">
        <v>0</v>
      </c>
      <c r="D972" s="82">
        <v>0</v>
      </c>
    </row>
    <row r="973" spans="1:4">
      <c r="A973" s="78" t="s">
        <v>1102</v>
      </c>
      <c r="B973" s="76">
        <v>3037</v>
      </c>
      <c r="C973" s="81">
        <v>0</v>
      </c>
      <c r="D973" s="82">
        <v>0</v>
      </c>
    </row>
    <row r="974" spans="1:4">
      <c r="A974" s="78" t="s">
        <v>1103</v>
      </c>
      <c r="B974" s="76">
        <v>3040</v>
      </c>
      <c r="C974" s="81">
        <v>0</v>
      </c>
      <c r="D974" s="82">
        <v>0</v>
      </c>
    </row>
    <row r="975" spans="1:4">
      <c r="A975" s="78" t="s">
        <v>1104</v>
      </c>
      <c r="B975" s="76">
        <v>3041</v>
      </c>
      <c r="C975" s="81">
        <v>0</v>
      </c>
      <c r="D975" s="82">
        <v>0</v>
      </c>
    </row>
    <row r="976" spans="1:4">
      <c r="A976" s="78" t="s">
        <v>1105</v>
      </c>
      <c r="B976" s="76">
        <v>3045</v>
      </c>
      <c r="C976" s="81">
        <v>0</v>
      </c>
      <c r="D976" s="82">
        <v>0</v>
      </c>
    </row>
    <row r="977" spans="1:4">
      <c r="A977" s="78" t="s">
        <v>1106</v>
      </c>
      <c r="B977" s="76">
        <v>3047</v>
      </c>
      <c r="C977" s="81">
        <v>0</v>
      </c>
      <c r="D977" s="82">
        <v>0</v>
      </c>
    </row>
    <row r="978" spans="1:4">
      <c r="A978" s="78" t="s">
        <v>1107</v>
      </c>
      <c r="B978" s="76">
        <v>3049</v>
      </c>
      <c r="C978" s="81">
        <v>0</v>
      </c>
      <c r="D978" s="82">
        <v>0</v>
      </c>
    </row>
    <row r="979" spans="1:4">
      <c r="A979" s="78" t="s">
        <v>1108</v>
      </c>
      <c r="B979" s="76">
        <v>3050</v>
      </c>
      <c r="C979" s="81">
        <v>0</v>
      </c>
      <c r="D979" s="82">
        <v>0</v>
      </c>
    </row>
    <row r="980" spans="1:4">
      <c r="A980" s="78" t="s">
        <v>1109</v>
      </c>
      <c r="B980" s="76">
        <v>3053</v>
      </c>
      <c r="C980" s="81">
        <v>0</v>
      </c>
      <c r="D980" s="82">
        <v>0</v>
      </c>
    </row>
    <row r="981" spans="1:4">
      <c r="A981" s="78" t="s">
        <v>1110</v>
      </c>
      <c r="B981" s="76">
        <v>3067</v>
      </c>
      <c r="C981" s="81">
        <v>0</v>
      </c>
      <c r="D981" s="82">
        <v>0</v>
      </c>
    </row>
    <row r="982" spans="1:4">
      <c r="A982" s="78" t="s">
        <v>1111</v>
      </c>
      <c r="B982" s="76">
        <v>3071</v>
      </c>
      <c r="C982" s="81">
        <v>0</v>
      </c>
      <c r="D982" s="82">
        <v>0</v>
      </c>
    </row>
    <row r="983" spans="1:4">
      <c r="A983" s="78" t="s">
        <v>1112</v>
      </c>
      <c r="B983" s="76">
        <v>3247</v>
      </c>
      <c r="C983" s="81">
        <v>0</v>
      </c>
      <c r="D983" s="82">
        <v>0</v>
      </c>
    </row>
    <row r="984" spans="1:4">
      <c r="A984" s="78" t="s">
        <v>1113</v>
      </c>
      <c r="B984" s="76">
        <v>3635</v>
      </c>
      <c r="C984" s="81">
        <v>0</v>
      </c>
      <c r="D984" s="82">
        <v>0</v>
      </c>
    </row>
    <row r="985" spans="1:4">
      <c r="A985" s="78" t="s">
        <v>1114</v>
      </c>
      <c r="B985" s="76">
        <v>3636</v>
      </c>
      <c r="C985" s="81">
        <v>0</v>
      </c>
      <c r="D985" s="82">
        <v>0</v>
      </c>
    </row>
    <row r="986" spans="1:4">
      <c r="A986" s="78" t="s">
        <v>1115</v>
      </c>
      <c r="B986" s="76">
        <v>3643</v>
      </c>
      <c r="C986" s="81">
        <v>0</v>
      </c>
      <c r="D986" s="82">
        <v>0</v>
      </c>
    </row>
    <row r="987" spans="1:4">
      <c r="A987" s="78" t="s">
        <v>1116</v>
      </c>
      <c r="B987" s="76">
        <v>3646</v>
      </c>
      <c r="C987" s="81">
        <v>0</v>
      </c>
      <c r="D987" s="82">
        <v>0</v>
      </c>
    </row>
    <row r="988" spans="1:4">
      <c r="A988" s="78" t="s">
        <v>1117</v>
      </c>
      <c r="B988" s="76">
        <v>3651</v>
      </c>
      <c r="C988" s="81">
        <v>0</v>
      </c>
      <c r="D988" s="82">
        <v>0</v>
      </c>
    </row>
    <row r="989" spans="1:4">
      <c r="A989" s="78" t="s">
        <v>1118</v>
      </c>
      <c r="B989" s="76">
        <v>3656</v>
      </c>
      <c r="C989" s="81">
        <v>0</v>
      </c>
      <c r="D989" s="82">
        <v>0</v>
      </c>
    </row>
    <row r="990" spans="1:4">
      <c r="A990" s="78" t="s">
        <v>1119</v>
      </c>
      <c r="B990" s="76">
        <v>3658</v>
      </c>
      <c r="C990" s="81">
        <v>0</v>
      </c>
      <c r="D990" s="82">
        <v>0</v>
      </c>
    </row>
    <row r="991" spans="1:4">
      <c r="A991" s="78" t="s">
        <v>1120</v>
      </c>
      <c r="B991" s="76">
        <v>3659</v>
      </c>
      <c r="C991" s="81">
        <v>0</v>
      </c>
      <c r="D991" s="82">
        <v>0</v>
      </c>
    </row>
    <row r="992" spans="1:4">
      <c r="A992" s="78" t="s">
        <v>1121</v>
      </c>
      <c r="B992" s="76">
        <v>3661</v>
      </c>
      <c r="C992" s="81">
        <v>0</v>
      </c>
      <c r="D992" s="82">
        <v>0</v>
      </c>
    </row>
    <row r="993" spans="1:4">
      <c r="A993" s="78" t="s">
        <v>1122</v>
      </c>
      <c r="B993" s="76">
        <v>3666</v>
      </c>
      <c r="C993" s="81">
        <v>0</v>
      </c>
      <c r="D993" s="82">
        <v>0</v>
      </c>
    </row>
    <row r="994" spans="1:4">
      <c r="A994" s="78" t="s">
        <v>1123</v>
      </c>
      <c r="B994" s="76">
        <v>3675</v>
      </c>
      <c r="C994" s="81">
        <v>0</v>
      </c>
      <c r="D994" s="82">
        <v>0</v>
      </c>
    </row>
    <row r="995" spans="1:4">
      <c r="A995" s="78" t="s">
        <v>1124</v>
      </c>
      <c r="B995" s="76">
        <v>3676</v>
      </c>
      <c r="C995" s="81">
        <v>0</v>
      </c>
      <c r="D995" s="82">
        <v>0</v>
      </c>
    </row>
    <row r="996" spans="1:4">
      <c r="A996" s="78" t="s">
        <v>1125</v>
      </c>
      <c r="B996" s="76">
        <v>3688</v>
      </c>
      <c r="C996" s="81">
        <v>0</v>
      </c>
      <c r="D996" s="82">
        <v>0</v>
      </c>
    </row>
    <row r="997" spans="1:4">
      <c r="A997" s="78" t="s">
        <v>1126</v>
      </c>
      <c r="B997" s="76">
        <v>3691</v>
      </c>
      <c r="C997" s="81">
        <v>0</v>
      </c>
      <c r="D997" s="82">
        <v>0</v>
      </c>
    </row>
    <row r="998" spans="1:4">
      <c r="A998" s="78" t="s">
        <v>1127</v>
      </c>
      <c r="B998" s="76">
        <v>3697</v>
      </c>
      <c r="C998" s="81">
        <v>0</v>
      </c>
      <c r="D998" s="82">
        <v>0</v>
      </c>
    </row>
    <row r="999" spans="1:4">
      <c r="A999" s="78" t="s">
        <v>1128</v>
      </c>
      <c r="B999" s="76">
        <v>3698</v>
      </c>
      <c r="C999" s="81">
        <v>0</v>
      </c>
      <c r="D999" s="82">
        <v>0</v>
      </c>
    </row>
    <row r="1000" spans="1:4">
      <c r="A1000" s="78" t="s">
        <v>1129</v>
      </c>
      <c r="B1000" s="76">
        <v>3699</v>
      </c>
      <c r="C1000" s="81">
        <v>0</v>
      </c>
      <c r="D1000" s="82">
        <v>0</v>
      </c>
    </row>
    <row r="1001" spans="1:4">
      <c r="A1001" s="78" t="s">
        <v>1130</v>
      </c>
      <c r="B1001" s="76">
        <v>3704</v>
      </c>
      <c r="C1001" s="81">
        <v>0</v>
      </c>
      <c r="D1001" s="82">
        <v>0</v>
      </c>
    </row>
    <row r="1002" spans="1:4">
      <c r="A1002" s="78" t="s">
        <v>1131</v>
      </c>
      <c r="B1002" s="76">
        <v>3833</v>
      </c>
      <c r="C1002" s="81">
        <v>0</v>
      </c>
      <c r="D1002" s="82">
        <v>0</v>
      </c>
    </row>
    <row r="1003" spans="1:4">
      <c r="A1003" s="78" t="s">
        <v>1132</v>
      </c>
      <c r="B1003" s="76">
        <v>3854</v>
      </c>
      <c r="C1003" s="81">
        <v>0</v>
      </c>
      <c r="D1003" s="82">
        <v>0</v>
      </c>
    </row>
    <row r="1004" spans="1:4">
      <c r="A1004" s="78" t="s">
        <v>1133</v>
      </c>
      <c r="B1004" s="76">
        <v>3860</v>
      </c>
      <c r="C1004" s="81">
        <v>0</v>
      </c>
      <c r="D1004" s="82">
        <v>0</v>
      </c>
    </row>
    <row r="1005" spans="1:4">
      <c r="A1005" s="78" t="s">
        <v>1134</v>
      </c>
      <c r="B1005" s="76">
        <v>3868</v>
      </c>
      <c r="C1005" s="81">
        <v>0</v>
      </c>
      <c r="D1005" s="82">
        <v>0</v>
      </c>
    </row>
    <row r="1006" spans="1:4">
      <c r="A1006" s="78" t="s">
        <v>1135</v>
      </c>
      <c r="B1006" s="76">
        <v>3878</v>
      </c>
      <c r="C1006" s="81">
        <v>0</v>
      </c>
      <c r="D1006" s="82">
        <v>0</v>
      </c>
    </row>
    <row r="1007" spans="1:4">
      <c r="A1007" s="78" t="s">
        <v>1136</v>
      </c>
      <c r="B1007" s="76">
        <v>3887</v>
      </c>
      <c r="C1007" s="81">
        <v>0</v>
      </c>
      <c r="D1007" s="82">
        <v>0</v>
      </c>
    </row>
    <row r="1008" spans="1:4">
      <c r="A1008" s="78" t="s">
        <v>1137</v>
      </c>
      <c r="B1008" s="76">
        <v>3888</v>
      </c>
      <c r="C1008" s="81">
        <v>0</v>
      </c>
      <c r="D1008" s="82">
        <v>0</v>
      </c>
    </row>
    <row r="1009" spans="1:4">
      <c r="A1009" s="78" t="s">
        <v>1138</v>
      </c>
      <c r="B1009" s="76">
        <v>3913</v>
      </c>
      <c r="C1009" s="81">
        <v>0</v>
      </c>
      <c r="D1009" s="82">
        <v>0</v>
      </c>
    </row>
    <row r="1010" spans="1:4">
      <c r="A1010" s="78" t="s">
        <v>1139</v>
      </c>
      <c r="B1010" s="76">
        <v>3914</v>
      </c>
      <c r="C1010" s="81">
        <v>0</v>
      </c>
      <c r="D1010" s="82">
        <v>0</v>
      </c>
    </row>
    <row r="1011" spans="1:4">
      <c r="A1011" s="78" t="s">
        <v>1140</v>
      </c>
      <c r="B1011" s="76">
        <v>3915</v>
      </c>
      <c r="C1011" s="81">
        <v>0</v>
      </c>
      <c r="D1011" s="82">
        <v>0</v>
      </c>
    </row>
    <row r="1012" spans="1:4">
      <c r="A1012" s="78" t="s">
        <v>1141</v>
      </c>
      <c r="B1012" s="76">
        <v>3916</v>
      </c>
      <c r="C1012" s="81">
        <v>0</v>
      </c>
      <c r="D1012" s="82">
        <v>0</v>
      </c>
    </row>
    <row r="1013" spans="1:4">
      <c r="A1013" s="78" t="s">
        <v>1142</v>
      </c>
      <c r="B1013" s="76">
        <v>3929</v>
      </c>
      <c r="C1013" s="81">
        <v>0</v>
      </c>
      <c r="D1013" s="82">
        <v>0</v>
      </c>
    </row>
    <row r="1014" spans="1:4">
      <c r="A1014" s="78" t="s">
        <v>1143</v>
      </c>
      <c r="B1014" s="76">
        <v>4176</v>
      </c>
      <c r="C1014" s="81">
        <v>0</v>
      </c>
      <c r="D1014" s="82">
        <v>0</v>
      </c>
    </row>
    <row r="1015" spans="1:4">
      <c r="A1015" s="78" t="s">
        <v>1144</v>
      </c>
      <c r="B1015" s="76">
        <v>4177</v>
      </c>
      <c r="C1015" s="81">
        <v>0</v>
      </c>
      <c r="D1015" s="82">
        <v>0</v>
      </c>
    </row>
    <row r="1016" spans="1:4">
      <c r="A1016" s="78" t="s">
        <v>1145</v>
      </c>
      <c r="B1016" s="76">
        <v>4178</v>
      </c>
      <c r="C1016" s="81">
        <v>0</v>
      </c>
      <c r="D1016" s="82">
        <v>0</v>
      </c>
    </row>
    <row r="1017" spans="1:4">
      <c r="A1017" s="78" t="s">
        <v>1146</v>
      </c>
      <c r="B1017" s="76">
        <v>4180</v>
      </c>
      <c r="C1017" s="81">
        <v>0</v>
      </c>
      <c r="D1017" s="82">
        <v>0</v>
      </c>
    </row>
    <row r="1018" spans="1:4">
      <c r="A1018" s="78" t="s">
        <v>1147</v>
      </c>
      <c r="B1018" s="76">
        <v>4182</v>
      </c>
      <c r="C1018" s="81">
        <v>0</v>
      </c>
      <c r="D1018" s="82">
        <v>0</v>
      </c>
    </row>
    <row r="1019" spans="1:4">
      <c r="A1019" s="78" t="s">
        <v>1148</v>
      </c>
      <c r="B1019" s="76">
        <v>4183</v>
      </c>
      <c r="C1019" s="81">
        <v>0</v>
      </c>
      <c r="D1019" s="82">
        <v>0</v>
      </c>
    </row>
    <row r="1020" spans="1:4">
      <c r="A1020" s="78" t="s">
        <v>1149</v>
      </c>
      <c r="B1020" s="76">
        <v>4185</v>
      </c>
      <c r="C1020" s="81">
        <v>0</v>
      </c>
      <c r="D1020" s="82">
        <v>0</v>
      </c>
    </row>
    <row r="1021" spans="1:4">
      <c r="A1021" s="78" t="s">
        <v>1150</v>
      </c>
      <c r="B1021" s="76">
        <v>4204</v>
      </c>
      <c r="C1021" s="81">
        <v>0</v>
      </c>
      <c r="D1021" s="82">
        <v>0</v>
      </c>
    </row>
    <row r="1022" spans="1:4">
      <c r="A1022" s="78" t="s">
        <v>1151</v>
      </c>
      <c r="B1022" s="76">
        <v>4213</v>
      </c>
      <c r="C1022" s="81">
        <v>0</v>
      </c>
      <c r="D1022" s="82">
        <v>0</v>
      </c>
    </row>
    <row r="1023" spans="1:4">
      <c r="A1023" s="78" t="s">
        <v>1152</v>
      </c>
      <c r="B1023" s="76">
        <v>4214</v>
      </c>
      <c r="C1023" s="81">
        <v>0</v>
      </c>
      <c r="D1023" s="82">
        <v>0</v>
      </c>
    </row>
    <row r="1024" spans="1:4">
      <c r="A1024" s="78" t="s">
        <v>1153</v>
      </c>
      <c r="B1024" s="76">
        <v>4263</v>
      </c>
      <c r="C1024" s="81">
        <v>0</v>
      </c>
      <c r="D1024" s="82">
        <v>0</v>
      </c>
    </row>
    <row r="1025" spans="1:4">
      <c r="A1025" s="78" t="s">
        <v>1154</v>
      </c>
      <c r="B1025" s="76">
        <v>6008</v>
      </c>
      <c r="C1025" s="81">
        <v>0</v>
      </c>
      <c r="D1025" s="82">
        <v>0</v>
      </c>
    </row>
    <row r="1026" spans="1:4">
      <c r="A1026" s="78" t="s">
        <v>1155</v>
      </c>
      <c r="B1026" s="76">
        <v>6099</v>
      </c>
      <c r="C1026" s="81">
        <v>0</v>
      </c>
      <c r="D1026" s="82">
        <v>0</v>
      </c>
    </row>
    <row r="1027" spans="1:4" ht="28.5">
      <c r="A1027" s="78" t="s">
        <v>1156</v>
      </c>
      <c r="B1027" s="76">
        <v>6100</v>
      </c>
      <c r="C1027" s="81">
        <v>0</v>
      </c>
      <c r="D1027" s="82">
        <v>0</v>
      </c>
    </row>
    <row r="1028" spans="1:4">
      <c r="A1028" s="78" t="s">
        <v>1157</v>
      </c>
      <c r="B1028" s="76">
        <v>6158</v>
      </c>
      <c r="C1028" s="81">
        <v>0</v>
      </c>
      <c r="D1028" s="82">
        <v>0</v>
      </c>
    </row>
    <row r="1029" spans="1:4">
      <c r="A1029" s="78" t="s">
        <v>1158</v>
      </c>
      <c r="B1029" s="76">
        <v>6159</v>
      </c>
      <c r="C1029" s="81">
        <v>0</v>
      </c>
      <c r="D1029" s="82">
        <v>0</v>
      </c>
    </row>
    <row r="1030" spans="1:4">
      <c r="A1030" s="78" t="s">
        <v>1159</v>
      </c>
      <c r="B1030" s="76">
        <v>6196</v>
      </c>
      <c r="C1030" s="81">
        <v>0</v>
      </c>
      <c r="D1030" s="82">
        <v>0</v>
      </c>
    </row>
    <row r="1031" spans="1:4">
      <c r="A1031" s="78" t="s">
        <v>1160</v>
      </c>
      <c r="B1031" s="76">
        <v>6206</v>
      </c>
      <c r="C1031" s="81">
        <v>0</v>
      </c>
      <c r="D1031" s="82">
        <v>0</v>
      </c>
    </row>
    <row r="1032" spans="1:4">
      <c r="A1032" s="78" t="s">
        <v>1161</v>
      </c>
      <c r="B1032" s="76">
        <v>6207</v>
      </c>
      <c r="C1032" s="81">
        <v>0</v>
      </c>
      <c r="D1032" s="82">
        <v>0</v>
      </c>
    </row>
    <row r="1033" spans="1:4">
      <c r="A1033" s="78" t="s">
        <v>1162</v>
      </c>
      <c r="B1033" s="76">
        <v>6208</v>
      </c>
      <c r="C1033" s="81">
        <v>0</v>
      </c>
      <c r="D1033" s="82">
        <v>0</v>
      </c>
    </row>
    <row r="1034" spans="1:4">
      <c r="A1034" s="78" t="s">
        <v>1163</v>
      </c>
      <c r="B1034" s="76">
        <v>6359</v>
      </c>
      <c r="C1034" s="81">
        <v>0</v>
      </c>
      <c r="D1034" s="82">
        <v>0</v>
      </c>
    </row>
    <row r="1035" spans="1:4">
      <c r="A1035" s="78" t="s">
        <v>1164</v>
      </c>
      <c r="B1035" s="76">
        <v>6393</v>
      </c>
      <c r="C1035" s="81">
        <v>0</v>
      </c>
      <c r="D1035" s="82">
        <v>0</v>
      </c>
    </row>
    <row r="1036" spans="1:4">
      <c r="A1036" s="78" t="s">
        <v>1165</v>
      </c>
      <c r="B1036" s="76">
        <v>6394</v>
      </c>
      <c r="C1036" s="81">
        <v>0</v>
      </c>
      <c r="D1036" s="82">
        <v>0</v>
      </c>
    </row>
    <row r="1037" spans="1:4">
      <c r="A1037" s="78" t="s">
        <v>1166</v>
      </c>
      <c r="B1037" s="76">
        <v>6400</v>
      </c>
      <c r="C1037" s="81">
        <v>0</v>
      </c>
      <c r="D1037" s="82">
        <v>0</v>
      </c>
    </row>
    <row r="1038" spans="1:4">
      <c r="A1038" s="78" t="s">
        <v>1167</v>
      </c>
      <c r="B1038" s="76">
        <v>6402</v>
      </c>
      <c r="C1038" s="81">
        <v>0</v>
      </c>
      <c r="D1038" s="82">
        <v>0</v>
      </c>
    </row>
    <row r="1039" spans="1:4">
      <c r="A1039" s="78" t="s">
        <v>1168</v>
      </c>
      <c r="B1039" s="76">
        <v>6404</v>
      </c>
      <c r="C1039" s="81">
        <v>0</v>
      </c>
      <c r="D1039" s="82">
        <v>0</v>
      </c>
    </row>
    <row r="1040" spans="1:4">
      <c r="A1040" s="78" t="s">
        <v>1169</v>
      </c>
      <c r="B1040" s="76">
        <v>6405</v>
      </c>
      <c r="C1040" s="81">
        <v>0</v>
      </c>
      <c r="D1040" s="82">
        <v>0</v>
      </c>
    </row>
    <row r="1041" spans="1:4">
      <c r="A1041" s="78" t="s">
        <v>1170</v>
      </c>
      <c r="B1041" s="76">
        <v>6408</v>
      </c>
      <c r="C1041" s="81">
        <v>0</v>
      </c>
      <c r="D1041" s="82">
        <v>0</v>
      </c>
    </row>
    <row r="1042" spans="1:4">
      <c r="A1042" s="78" t="s">
        <v>1171</v>
      </c>
      <c r="B1042" s="76">
        <v>6409</v>
      </c>
      <c r="C1042" s="81">
        <v>0</v>
      </c>
      <c r="D1042" s="82">
        <v>0</v>
      </c>
    </row>
    <row r="1043" spans="1:4">
      <c r="A1043" s="78" t="s">
        <v>1172</v>
      </c>
      <c r="B1043" s="76">
        <v>6421</v>
      </c>
      <c r="C1043" s="81">
        <v>0</v>
      </c>
      <c r="D1043" s="82">
        <v>0</v>
      </c>
    </row>
    <row r="1044" spans="1:4">
      <c r="A1044" s="78" t="s">
        <v>1173</v>
      </c>
      <c r="B1044" s="76">
        <v>6422</v>
      </c>
      <c r="C1044" s="81">
        <v>0</v>
      </c>
      <c r="D1044" s="82">
        <v>0</v>
      </c>
    </row>
    <row r="1045" spans="1:4">
      <c r="A1045" s="78" t="s">
        <v>1174</v>
      </c>
      <c r="B1045" s="76">
        <v>6430</v>
      </c>
      <c r="C1045" s="81">
        <v>0</v>
      </c>
      <c r="D1045" s="82">
        <v>0</v>
      </c>
    </row>
    <row r="1046" spans="1:4">
      <c r="A1046" s="78" t="s">
        <v>1175</v>
      </c>
      <c r="B1046" s="76">
        <v>6449</v>
      </c>
      <c r="C1046" s="81">
        <v>0</v>
      </c>
      <c r="D1046" s="82">
        <v>0</v>
      </c>
    </row>
    <row r="1047" spans="1:4">
      <c r="A1047" s="78" t="s">
        <v>1176</v>
      </c>
      <c r="B1047" s="76">
        <v>6459</v>
      </c>
      <c r="C1047" s="81">
        <v>0</v>
      </c>
      <c r="D1047" s="82">
        <v>0</v>
      </c>
    </row>
    <row r="1048" spans="1:4" ht="28.5">
      <c r="A1048" s="78" t="s">
        <v>1177</v>
      </c>
      <c r="B1048" s="76">
        <v>6479</v>
      </c>
      <c r="C1048" s="81">
        <v>0</v>
      </c>
      <c r="D1048" s="82">
        <v>0</v>
      </c>
    </row>
    <row r="1049" spans="1:4" ht="28.5">
      <c r="A1049" s="78" t="s">
        <v>1178</v>
      </c>
      <c r="B1049" s="76">
        <v>6480</v>
      </c>
      <c r="C1049" s="81">
        <v>0</v>
      </c>
      <c r="D1049" s="82">
        <v>0</v>
      </c>
    </row>
    <row r="1050" spans="1:4">
      <c r="A1050" s="78" t="s">
        <v>1179</v>
      </c>
      <c r="B1050" s="76">
        <v>6484</v>
      </c>
      <c r="C1050" s="81">
        <v>0</v>
      </c>
      <c r="D1050" s="82">
        <v>0</v>
      </c>
    </row>
    <row r="1051" spans="1:4">
      <c r="A1051" s="78" t="s">
        <v>1180</v>
      </c>
      <c r="B1051" s="76">
        <v>6505</v>
      </c>
      <c r="C1051" s="81">
        <v>0</v>
      </c>
      <c r="D1051" s="82">
        <v>0</v>
      </c>
    </row>
    <row r="1052" spans="1:4">
      <c r="A1052" s="78" t="s">
        <v>1181</v>
      </c>
      <c r="B1052" s="76">
        <v>6506</v>
      </c>
      <c r="C1052" s="81">
        <v>0</v>
      </c>
      <c r="D1052" s="82">
        <v>0</v>
      </c>
    </row>
    <row r="1053" spans="1:4">
      <c r="A1053" s="78" t="s">
        <v>1182</v>
      </c>
      <c r="B1053" s="76">
        <v>6513</v>
      </c>
      <c r="C1053" s="81">
        <v>0</v>
      </c>
      <c r="D1053" s="82">
        <v>0</v>
      </c>
    </row>
    <row r="1054" spans="1:4">
      <c r="A1054" s="78" t="s">
        <v>1183</v>
      </c>
      <c r="B1054" s="76">
        <v>6521</v>
      </c>
      <c r="C1054" s="81">
        <v>0</v>
      </c>
      <c r="D1054" s="82">
        <v>0</v>
      </c>
    </row>
    <row r="1055" spans="1:4">
      <c r="A1055" s="78" t="s">
        <v>1184</v>
      </c>
      <c r="B1055" s="76">
        <v>6531</v>
      </c>
      <c r="C1055" s="81">
        <v>0</v>
      </c>
      <c r="D1055" s="82">
        <v>0</v>
      </c>
    </row>
    <row r="1056" spans="1:4">
      <c r="A1056" s="78" t="s">
        <v>1185</v>
      </c>
      <c r="B1056" s="76">
        <v>6532</v>
      </c>
      <c r="C1056" s="81">
        <v>0</v>
      </c>
      <c r="D1056" s="82">
        <v>0</v>
      </c>
    </row>
    <row r="1057" spans="1:4">
      <c r="A1057" s="78" t="s">
        <v>1186</v>
      </c>
      <c r="B1057" s="76">
        <v>6537</v>
      </c>
      <c r="C1057" s="81">
        <v>0</v>
      </c>
      <c r="D1057" s="82">
        <v>0</v>
      </c>
    </row>
    <row r="1058" spans="1:4">
      <c r="A1058" s="78" t="s">
        <v>1187</v>
      </c>
      <c r="B1058" s="76">
        <v>6612</v>
      </c>
      <c r="C1058" s="81">
        <v>0</v>
      </c>
      <c r="D1058" s="82">
        <v>0</v>
      </c>
    </row>
    <row r="1059" spans="1:4">
      <c r="A1059" s="78" t="s">
        <v>1188</v>
      </c>
      <c r="B1059" s="76">
        <v>6623</v>
      </c>
      <c r="C1059" s="81">
        <v>0</v>
      </c>
      <c r="D1059" s="82">
        <v>0</v>
      </c>
    </row>
    <row r="1060" spans="1:4">
      <c r="A1060" s="78" t="s">
        <v>1189</v>
      </c>
      <c r="B1060" s="76">
        <v>6644</v>
      </c>
      <c r="C1060" s="81">
        <v>0</v>
      </c>
      <c r="D1060" s="82">
        <v>0</v>
      </c>
    </row>
    <row r="1061" spans="1:4">
      <c r="A1061" s="78" t="s">
        <v>1190</v>
      </c>
      <c r="B1061" s="76">
        <v>6645</v>
      </c>
      <c r="C1061" s="81">
        <v>0</v>
      </c>
      <c r="D1061" s="82">
        <v>0</v>
      </c>
    </row>
    <row r="1062" spans="1:4">
      <c r="A1062" s="78" t="s">
        <v>1191</v>
      </c>
      <c r="B1062" s="76">
        <v>6646</v>
      </c>
      <c r="C1062" s="81">
        <v>0</v>
      </c>
      <c r="D1062" s="82">
        <v>0</v>
      </c>
    </row>
    <row r="1063" spans="1:4">
      <c r="A1063" s="78" t="s">
        <v>1192</v>
      </c>
      <c r="B1063" s="76">
        <v>6647</v>
      </c>
      <c r="C1063" s="81">
        <v>0</v>
      </c>
      <c r="D1063" s="82">
        <v>0</v>
      </c>
    </row>
    <row r="1064" spans="1:4">
      <c r="A1064" s="78" t="s">
        <v>1193</v>
      </c>
      <c r="B1064" s="76">
        <v>7012</v>
      </c>
      <c r="C1064" s="81">
        <v>0</v>
      </c>
      <c r="D1064" s="82">
        <v>0</v>
      </c>
    </row>
    <row r="1065" spans="1:4">
      <c r="A1065" s="78" t="s">
        <v>1194</v>
      </c>
      <c r="B1065" s="76">
        <v>7015</v>
      </c>
      <c r="C1065" s="81">
        <v>0</v>
      </c>
      <c r="D1065" s="82">
        <v>0</v>
      </c>
    </row>
    <row r="1066" spans="1:4">
      <c r="A1066" s="78" t="s">
        <v>1195</v>
      </c>
      <c r="B1066" s="76">
        <v>7034</v>
      </c>
      <c r="C1066" s="81">
        <v>0</v>
      </c>
      <c r="D1066" s="82">
        <v>0</v>
      </c>
    </row>
    <row r="1067" spans="1:4">
      <c r="A1067" s="78" t="s">
        <v>1196</v>
      </c>
      <c r="B1067" s="76">
        <v>7050</v>
      </c>
      <c r="C1067" s="81">
        <v>0</v>
      </c>
      <c r="D1067" s="82">
        <v>0</v>
      </c>
    </row>
    <row r="1068" spans="1:4">
      <c r="A1068" s="78" t="s">
        <v>1197</v>
      </c>
      <c r="B1068" s="76">
        <v>7069</v>
      </c>
      <c r="C1068" s="81">
        <v>0</v>
      </c>
      <c r="D1068" s="82">
        <v>0</v>
      </c>
    </row>
    <row r="1069" spans="1:4">
      <c r="A1069" s="78" t="s">
        <v>1198</v>
      </c>
      <c r="B1069" s="76">
        <v>7072</v>
      </c>
      <c r="C1069" s="81">
        <v>0</v>
      </c>
      <c r="D1069" s="82">
        <v>0</v>
      </c>
    </row>
    <row r="1070" spans="1:4">
      <c r="A1070" s="78" t="s">
        <v>1199</v>
      </c>
      <c r="B1070" s="76">
        <v>7079</v>
      </c>
      <c r="C1070" s="81">
        <v>0</v>
      </c>
      <c r="D1070" s="82">
        <v>0</v>
      </c>
    </row>
    <row r="1071" spans="1:4" ht="28.5">
      <c r="A1071" s="78" t="s">
        <v>1200</v>
      </c>
      <c r="B1071" s="76">
        <v>7129</v>
      </c>
      <c r="C1071" s="81">
        <v>0</v>
      </c>
      <c r="D1071" s="82">
        <v>0</v>
      </c>
    </row>
    <row r="1072" spans="1:4">
      <c r="A1072" s="78" t="s">
        <v>1201</v>
      </c>
      <c r="B1072" s="76">
        <v>7132</v>
      </c>
      <c r="C1072" s="81">
        <v>0</v>
      </c>
      <c r="D1072" s="82">
        <v>0</v>
      </c>
    </row>
    <row r="1073" spans="1:4">
      <c r="A1073" s="78" t="s">
        <v>1202</v>
      </c>
      <c r="B1073" s="76">
        <v>7147</v>
      </c>
      <c r="C1073" s="81">
        <v>0</v>
      </c>
      <c r="D1073" s="82">
        <v>0</v>
      </c>
    </row>
    <row r="1074" spans="1:4">
      <c r="A1074" s="78" t="s">
        <v>1203</v>
      </c>
      <c r="B1074" s="76">
        <v>7151</v>
      </c>
      <c r="C1074" s="81">
        <v>0</v>
      </c>
      <c r="D1074" s="82">
        <v>0</v>
      </c>
    </row>
    <row r="1075" spans="1:4">
      <c r="A1075" s="78" t="s">
        <v>1204</v>
      </c>
      <c r="B1075" s="76">
        <v>7164</v>
      </c>
      <c r="C1075" s="81">
        <v>0</v>
      </c>
      <c r="D1075" s="82">
        <v>0</v>
      </c>
    </row>
    <row r="1076" spans="1:4">
      <c r="A1076" s="78" t="s">
        <v>1205</v>
      </c>
      <c r="B1076" s="76">
        <v>7189</v>
      </c>
      <c r="C1076" s="81">
        <v>0</v>
      </c>
      <c r="D1076" s="82">
        <v>0</v>
      </c>
    </row>
    <row r="1077" spans="1:4">
      <c r="A1077" s="78" t="s">
        <v>1206</v>
      </c>
      <c r="B1077" s="76">
        <v>7190</v>
      </c>
      <c r="C1077" s="81">
        <v>0</v>
      </c>
      <c r="D1077" s="82">
        <v>0</v>
      </c>
    </row>
    <row r="1078" spans="1:4">
      <c r="A1078" s="78" t="s">
        <v>1207</v>
      </c>
      <c r="B1078" s="76">
        <v>7229</v>
      </c>
      <c r="C1078" s="81">
        <v>0</v>
      </c>
      <c r="D1078" s="82">
        <v>0</v>
      </c>
    </row>
    <row r="1079" spans="1:4">
      <c r="A1079" s="78" t="s">
        <v>1208</v>
      </c>
      <c r="B1079" s="76">
        <v>7233</v>
      </c>
      <c r="C1079" s="81">
        <v>0</v>
      </c>
      <c r="D1079" s="82">
        <v>0</v>
      </c>
    </row>
    <row r="1080" spans="1:4">
      <c r="A1080" s="78" t="s">
        <v>1209</v>
      </c>
      <c r="B1080" s="76">
        <v>7259</v>
      </c>
      <c r="C1080" s="81">
        <v>0</v>
      </c>
      <c r="D1080" s="82">
        <v>0</v>
      </c>
    </row>
    <row r="1081" spans="1:4">
      <c r="A1081" s="78" t="s">
        <v>1210</v>
      </c>
      <c r="B1081" s="76">
        <v>7317</v>
      </c>
      <c r="C1081" s="81">
        <v>0</v>
      </c>
      <c r="D1081" s="82">
        <v>0</v>
      </c>
    </row>
    <row r="1082" spans="1:4">
      <c r="A1082" s="78" t="s">
        <v>1211</v>
      </c>
      <c r="B1082" s="76">
        <v>7338</v>
      </c>
      <c r="C1082" s="81">
        <v>0</v>
      </c>
      <c r="D1082" s="82">
        <v>0</v>
      </c>
    </row>
    <row r="1083" spans="1:4">
      <c r="A1083" s="78" t="s">
        <v>1212</v>
      </c>
      <c r="B1083" s="76">
        <v>7372</v>
      </c>
      <c r="C1083" s="81">
        <v>0</v>
      </c>
      <c r="D1083" s="82">
        <v>0</v>
      </c>
    </row>
    <row r="1084" spans="1:4">
      <c r="A1084" s="78" t="s">
        <v>1213</v>
      </c>
      <c r="B1084" s="76">
        <v>7373</v>
      </c>
      <c r="C1084" s="81">
        <v>0</v>
      </c>
      <c r="D1084" s="82">
        <v>0</v>
      </c>
    </row>
    <row r="1085" spans="1:4">
      <c r="A1085" s="78" t="s">
        <v>1214</v>
      </c>
      <c r="B1085" s="76">
        <v>7458</v>
      </c>
      <c r="C1085" s="81">
        <v>0</v>
      </c>
      <c r="D1085" s="82">
        <v>0</v>
      </c>
    </row>
    <row r="1086" spans="1:4">
      <c r="A1086" s="78" t="s">
        <v>1215</v>
      </c>
      <c r="B1086" s="76">
        <v>7489</v>
      </c>
      <c r="C1086" s="81">
        <v>0</v>
      </c>
      <c r="D1086" s="82">
        <v>0</v>
      </c>
    </row>
    <row r="1087" spans="1:4">
      <c r="A1087" s="78" t="s">
        <v>1216</v>
      </c>
      <c r="B1087" s="76">
        <v>7507</v>
      </c>
      <c r="C1087" s="81">
        <v>0</v>
      </c>
      <c r="D1087" s="82">
        <v>0</v>
      </c>
    </row>
    <row r="1088" spans="1:4">
      <c r="A1088" s="78" t="s">
        <v>1217</v>
      </c>
      <c r="B1088" s="76">
        <v>7508</v>
      </c>
      <c r="C1088" s="81">
        <v>0</v>
      </c>
      <c r="D1088" s="82">
        <v>0</v>
      </c>
    </row>
    <row r="1089" spans="1:4" ht="28.5">
      <c r="A1089" s="78" t="s">
        <v>1218</v>
      </c>
      <c r="B1089" s="76">
        <v>7511</v>
      </c>
      <c r="C1089" s="81">
        <v>0</v>
      </c>
      <c r="D1089" s="82">
        <v>0</v>
      </c>
    </row>
    <row r="1090" spans="1:4">
      <c r="A1090" s="78" t="s">
        <v>1219</v>
      </c>
      <c r="B1090" s="76">
        <v>7526</v>
      </c>
      <c r="C1090" s="81">
        <v>0</v>
      </c>
      <c r="D1090" s="82">
        <v>0</v>
      </c>
    </row>
    <row r="1091" spans="1:4">
      <c r="A1091" s="78" t="s">
        <v>1220</v>
      </c>
      <c r="B1091" s="76">
        <v>7541</v>
      </c>
      <c r="C1091" s="81">
        <v>0</v>
      </c>
      <c r="D1091" s="82">
        <v>0</v>
      </c>
    </row>
    <row r="1092" spans="1:4">
      <c r="A1092" s="78" t="s">
        <v>1221</v>
      </c>
      <c r="B1092" s="76">
        <v>7548</v>
      </c>
      <c r="C1092" s="81">
        <v>0</v>
      </c>
      <c r="D1092" s="82">
        <v>0</v>
      </c>
    </row>
    <row r="1093" spans="1:4">
      <c r="A1093" s="78" t="s">
        <v>1222</v>
      </c>
      <c r="B1093" s="76">
        <v>7588</v>
      </c>
      <c r="C1093" s="81">
        <v>0</v>
      </c>
      <c r="D1093" s="82">
        <v>0</v>
      </c>
    </row>
    <row r="1094" spans="1:4">
      <c r="A1094" s="78" t="s">
        <v>1223</v>
      </c>
      <c r="B1094" s="76">
        <v>7593</v>
      </c>
      <c r="C1094" s="81">
        <v>0</v>
      </c>
      <c r="D1094" s="82">
        <v>0</v>
      </c>
    </row>
    <row r="1095" spans="1:4">
      <c r="A1095" s="78" t="s">
        <v>1224</v>
      </c>
      <c r="B1095" s="76">
        <v>7646</v>
      </c>
      <c r="C1095" s="81">
        <v>0</v>
      </c>
      <c r="D1095" s="82">
        <v>0</v>
      </c>
    </row>
    <row r="1096" spans="1:4">
      <c r="A1096" s="78" t="s">
        <v>1225</v>
      </c>
      <c r="B1096" s="76">
        <v>7789</v>
      </c>
      <c r="C1096" s="81">
        <v>0</v>
      </c>
      <c r="D1096" s="82">
        <v>0</v>
      </c>
    </row>
    <row r="1097" spans="1:4">
      <c r="A1097" s="78" t="s">
        <v>1226</v>
      </c>
      <c r="B1097" s="76">
        <v>7867</v>
      </c>
      <c r="C1097" s="81">
        <v>0</v>
      </c>
      <c r="D1097" s="82">
        <v>0</v>
      </c>
    </row>
    <row r="1098" spans="1:4">
      <c r="A1098" s="78" t="s">
        <v>1227</v>
      </c>
      <c r="B1098" s="76">
        <v>7907</v>
      </c>
      <c r="C1098" s="81">
        <v>0</v>
      </c>
      <c r="D1098" s="82">
        <v>0</v>
      </c>
    </row>
    <row r="1099" spans="1:4">
      <c r="A1099" s="78" t="s">
        <v>1228</v>
      </c>
      <c r="B1099" s="76">
        <v>7911</v>
      </c>
      <c r="C1099" s="81">
        <v>0</v>
      </c>
      <c r="D1099" s="82">
        <v>0</v>
      </c>
    </row>
    <row r="1100" spans="1:4" ht="28.5">
      <c r="A1100" s="78" t="s">
        <v>1229</v>
      </c>
      <c r="B1100" s="76">
        <v>7942</v>
      </c>
      <c r="C1100" s="81">
        <v>0</v>
      </c>
      <c r="D1100" s="82">
        <v>0</v>
      </c>
    </row>
    <row r="1101" spans="1:4">
      <c r="A1101" s="78" t="s">
        <v>1230</v>
      </c>
      <c r="B1101" s="76">
        <v>8902</v>
      </c>
      <c r="C1101" s="81">
        <v>0</v>
      </c>
      <c r="D1101" s="82">
        <v>0</v>
      </c>
    </row>
    <row r="1102" spans="1:4">
      <c r="A1102" s="78" t="s">
        <v>1231</v>
      </c>
      <c r="B1102" s="76">
        <v>10005</v>
      </c>
      <c r="C1102" s="81">
        <v>0</v>
      </c>
      <c r="D1102" s="82">
        <v>0</v>
      </c>
    </row>
    <row r="1103" spans="1:4">
      <c r="A1103" s="78" t="s">
        <v>1232</v>
      </c>
      <c r="B1103" s="76">
        <v>10049</v>
      </c>
      <c r="C1103" s="81">
        <v>0</v>
      </c>
      <c r="D1103" s="82">
        <v>0</v>
      </c>
    </row>
    <row r="1104" spans="1:4" ht="28.5">
      <c r="A1104" s="78" t="s">
        <v>1233</v>
      </c>
      <c r="B1104" s="76">
        <v>10070</v>
      </c>
      <c r="C1104" s="81">
        <v>0</v>
      </c>
      <c r="D1104" s="82">
        <v>0</v>
      </c>
    </row>
    <row r="1105" spans="1:4" ht="28.5">
      <c r="A1105" s="78" t="s">
        <v>1234</v>
      </c>
      <c r="B1105" s="76">
        <v>10081</v>
      </c>
      <c r="C1105" s="81">
        <v>0</v>
      </c>
      <c r="D1105" s="82">
        <v>0</v>
      </c>
    </row>
    <row r="1106" spans="1:4" ht="28.5">
      <c r="A1106" s="78" t="s">
        <v>1235</v>
      </c>
      <c r="B1106" s="76">
        <v>10128</v>
      </c>
      <c r="C1106" s="81">
        <v>0</v>
      </c>
      <c r="D1106" s="82">
        <v>0</v>
      </c>
    </row>
    <row r="1107" spans="1:4" ht="28.5">
      <c r="A1107" s="78" t="s">
        <v>1236</v>
      </c>
      <c r="B1107" s="76">
        <v>10138</v>
      </c>
      <c r="C1107" s="81">
        <v>0</v>
      </c>
      <c r="D1107" s="82">
        <v>0</v>
      </c>
    </row>
    <row r="1108" spans="1:4" ht="28.5">
      <c r="A1108" s="78" t="s">
        <v>1237</v>
      </c>
      <c r="B1108" s="76">
        <v>10139</v>
      </c>
      <c r="C1108" s="81">
        <v>0</v>
      </c>
      <c r="D1108" s="82">
        <v>0</v>
      </c>
    </row>
    <row r="1109" spans="1:4" ht="28.5">
      <c r="A1109" s="78" t="s">
        <v>1238</v>
      </c>
      <c r="B1109" s="76">
        <v>10140</v>
      </c>
      <c r="C1109" s="81">
        <v>0</v>
      </c>
      <c r="D1109" s="82">
        <v>0</v>
      </c>
    </row>
    <row r="1110" spans="1:4" ht="28.5">
      <c r="A1110" s="78" t="s">
        <v>1239</v>
      </c>
      <c r="B1110" s="76">
        <v>10162</v>
      </c>
      <c r="C1110" s="81">
        <v>0</v>
      </c>
      <c r="D1110" s="82">
        <v>0</v>
      </c>
    </row>
    <row r="1111" spans="1:4" ht="28.5">
      <c r="A1111" s="78" t="s">
        <v>1240</v>
      </c>
      <c r="B1111" s="76">
        <v>10222</v>
      </c>
      <c r="C1111" s="81">
        <v>0</v>
      </c>
      <c r="D1111" s="82">
        <v>0</v>
      </c>
    </row>
    <row r="1112" spans="1:4">
      <c r="A1112" s="78" t="s">
        <v>1241</v>
      </c>
      <c r="B1112" s="76">
        <v>10253</v>
      </c>
      <c r="C1112" s="81">
        <v>0</v>
      </c>
      <c r="D1112" s="82">
        <v>0</v>
      </c>
    </row>
    <row r="1113" spans="1:4" ht="28.5">
      <c r="A1113" s="78" t="s">
        <v>1242</v>
      </c>
      <c r="B1113" s="76">
        <v>10282</v>
      </c>
      <c r="C1113" s="81">
        <v>0</v>
      </c>
      <c r="D1113" s="82">
        <v>0</v>
      </c>
    </row>
    <row r="1114" spans="1:4">
      <c r="A1114" s="78" t="s">
        <v>1243</v>
      </c>
      <c r="B1114" s="76">
        <v>10296</v>
      </c>
      <c r="C1114" s="81">
        <v>0</v>
      </c>
      <c r="D1114" s="82">
        <v>0</v>
      </c>
    </row>
    <row r="1115" spans="1:4">
      <c r="A1115" s="78" t="s">
        <v>1244</v>
      </c>
      <c r="B1115" s="76">
        <v>10323</v>
      </c>
      <c r="C1115" s="81">
        <v>0</v>
      </c>
      <c r="D1115" s="82">
        <v>0</v>
      </c>
    </row>
    <row r="1116" spans="1:4">
      <c r="A1116" s="78" t="s">
        <v>1245</v>
      </c>
      <c r="B1116" s="76">
        <v>10324</v>
      </c>
      <c r="C1116" s="81">
        <v>0</v>
      </c>
      <c r="D1116" s="82">
        <v>0</v>
      </c>
    </row>
    <row r="1117" spans="1:4">
      <c r="A1117" s="78" t="s">
        <v>1246</v>
      </c>
      <c r="B1117" s="76">
        <v>10325</v>
      </c>
      <c r="C1117" s="81">
        <v>0</v>
      </c>
      <c r="D1117" s="82">
        <v>0</v>
      </c>
    </row>
    <row r="1118" spans="1:4">
      <c r="A1118" s="78" t="s">
        <v>1247</v>
      </c>
      <c r="B1118" s="76">
        <v>10421</v>
      </c>
      <c r="C1118" s="81">
        <v>0</v>
      </c>
      <c r="D1118" s="82">
        <v>0</v>
      </c>
    </row>
    <row r="1119" spans="1:4" ht="28.5">
      <c r="A1119" s="78" t="s">
        <v>1248</v>
      </c>
      <c r="B1119" s="76">
        <v>10422</v>
      </c>
      <c r="C1119" s="81">
        <v>0</v>
      </c>
      <c r="D1119" s="82">
        <v>0</v>
      </c>
    </row>
    <row r="1120" spans="1:4" ht="28.5">
      <c r="A1120" s="78" t="s">
        <v>1249</v>
      </c>
      <c r="B1120" s="76">
        <v>10423</v>
      </c>
      <c r="C1120" s="81">
        <v>0</v>
      </c>
      <c r="D1120" s="82">
        <v>0</v>
      </c>
    </row>
    <row r="1121" spans="1:4">
      <c r="A1121" s="78" t="s">
        <v>1250</v>
      </c>
      <c r="B1121" s="76">
        <v>10424</v>
      </c>
      <c r="C1121" s="81">
        <v>0</v>
      </c>
      <c r="D1121" s="82">
        <v>0</v>
      </c>
    </row>
    <row r="1122" spans="1:4">
      <c r="A1122" s="78" t="s">
        <v>1251</v>
      </c>
      <c r="B1122" s="76">
        <v>10437</v>
      </c>
      <c r="C1122" s="81">
        <v>0</v>
      </c>
      <c r="D1122" s="82">
        <v>0</v>
      </c>
    </row>
    <row r="1123" spans="1:4">
      <c r="A1123" s="78" t="s">
        <v>1252</v>
      </c>
      <c r="B1123" s="76">
        <v>10438</v>
      </c>
      <c r="C1123" s="81">
        <v>0</v>
      </c>
      <c r="D1123" s="82">
        <v>0</v>
      </c>
    </row>
    <row r="1124" spans="1:4" ht="28.5">
      <c r="A1124" s="78" t="s">
        <v>1253</v>
      </c>
      <c r="B1124" s="76">
        <v>10458</v>
      </c>
      <c r="C1124" s="81">
        <v>0</v>
      </c>
      <c r="D1124" s="82">
        <v>0</v>
      </c>
    </row>
    <row r="1125" spans="1:4" ht="28.5">
      <c r="A1125" s="78" t="s">
        <v>1254</v>
      </c>
      <c r="B1125" s="76">
        <v>10586</v>
      </c>
      <c r="C1125" s="81">
        <v>0</v>
      </c>
      <c r="D1125" s="82">
        <v>0</v>
      </c>
    </row>
    <row r="1126" spans="1:4" ht="28.5">
      <c r="A1126" s="78" t="s">
        <v>1255</v>
      </c>
      <c r="B1126" s="76">
        <v>10597</v>
      </c>
      <c r="C1126" s="81">
        <v>0</v>
      </c>
      <c r="D1126" s="82">
        <v>0</v>
      </c>
    </row>
    <row r="1127" spans="1:4" ht="28.5">
      <c r="A1127" s="78" t="s">
        <v>1256</v>
      </c>
      <c r="B1127" s="76">
        <v>10707</v>
      </c>
      <c r="C1127" s="81">
        <v>0</v>
      </c>
      <c r="D1127" s="82">
        <v>0</v>
      </c>
    </row>
    <row r="1128" spans="1:4">
      <c r="A1128" s="78" t="s">
        <v>1257</v>
      </c>
      <c r="B1128" s="76">
        <v>10708</v>
      </c>
      <c r="C1128" s="81">
        <v>0</v>
      </c>
      <c r="D1128" s="82">
        <v>0</v>
      </c>
    </row>
    <row r="1129" spans="1:4" ht="28.5">
      <c r="A1129" s="78" t="s">
        <v>1258</v>
      </c>
      <c r="B1129" s="76">
        <v>10709</v>
      </c>
      <c r="C1129" s="81">
        <v>0</v>
      </c>
      <c r="D1129" s="82">
        <v>0</v>
      </c>
    </row>
    <row r="1130" spans="1:4" ht="28.5">
      <c r="A1130" s="78" t="s">
        <v>1259</v>
      </c>
      <c r="B1130" s="76">
        <v>10718</v>
      </c>
      <c r="C1130" s="81">
        <v>0</v>
      </c>
      <c r="D1130" s="82">
        <v>0</v>
      </c>
    </row>
    <row r="1131" spans="1:4">
      <c r="A1131" s="78" t="s">
        <v>1260</v>
      </c>
      <c r="B1131" s="76">
        <v>10735</v>
      </c>
      <c r="C1131" s="81">
        <v>0</v>
      </c>
      <c r="D1131" s="82">
        <v>0</v>
      </c>
    </row>
    <row r="1132" spans="1:4">
      <c r="A1132" s="78" t="s">
        <v>1261</v>
      </c>
      <c r="B1132" s="76">
        <v>10737</v>
      </c>
      <c r="C1132" s="81">
        <v>0</v>
      </c>
      <c r="D1132" s="82">
        <v>0</v>
      </c>
    </row>
    <row r="1133" spans="1:4" ht="42.75">
      <c r="A1133" s="78" t="s">
        <v>1262</v>
      </c>
      <c r="B1133" s="76">
        <v>10740</v>
      </c>
      <c r="C1133" s="81">
        <v>0</v>
      </c>
      <c r="D1133" s="82">
        <v>0</v>
      </c>
    </row>
    <row r="1134" spans="1:4" ht="42.75">
      <c r="A1134" s="78" t="s">
        <v>1263</v>
      </c>
      <c r="B1134" s="76">
        <v>10781</v>
      </c>
      <c r="C1134" s="81">
        <v>0</v>
      </c>
      <c r="D1134" s="82">
        <v>0</v>
      </c>
    </row>
    <row r="1135" spans="1:4">
      <c r="A1135" s="78" t="s">
        <v>1264</v>
      </c>
      <c r="B1135" s="76">
        <v>10806</v>
      </c>
      <c r="C1135" s="81">
        <v>0</v>
      </c>
      <c r="D1135" s="82">
        <v>0</v>
      </c>
    </row>
    <row r="1136" spans="1:4">
      <c r="A1136" s="78" t="s">
        <v>1265</v>
      </c>
      <c r="B1136" s="76">
        <v>10807</v>
      </c>
      <c r="C1136" s="81">
        <v>0</v>
      </c>
      <c r="D1136" s="82">
        <v>0</v>
      </c>
    </row>
    <row r="1137" spans="1:4">
      <c r="A1137" s="78" t="s">
        <v>1266</v>
      </c>
      <c r="B1137" s="76">
        <v>10808</v>
      </c>
      <c r="C1137" s="81">
        <v>0</v>
      </c>
      <c r="D1137" s="82">
        <v>0</v>
      </c>
    </row>
    <row r="1138" spans="1:4">
      <c r="A1138" s="78" t="s">
        <v>1267</v>
      </c>
      <c r="B1138" s="76">
        <v>10809</v>
      </c>
      <c r="C1138" s="81">
        <v>0</v>
      </c>
      <c r="D1138" s="82">
        <v>0</v>
      </c>
    </row>
    <row r="1139" spans="1:4" ht="28.5">
      <c r="A1139" s="78" t="s">
        <v>1268</v>
      </c>
      <c r="B1139" s="76">
        <v>50037</v>
      </c>
      <c r="C1139" s="81">
        <v>0</v>
      </c>
      <c r="D1139" s="82">
        <v>0</v>
      </c>
    </row>
    <row r="1140" spans="1:4">
      <c r="A1140" s="78" t="s">
        <v>1269</v>
      </c>
      <c r="B1140" s="76">
        <v>50076</v>
      </c>
      <c r="C1140" s="81">
        <v>0</v>
      </c>
      <c r="D1140" s="82">
        <v>0</v>
      </c>
    </row>
    <row r="1141" spans="1:4" ht="28.5">
      <c r="A1141" s="78" t="s">
        <v>1270</v>
      </c>
      <c r="B1141" s="76">
        <v>50091</v>
      </c>
      <c r="C1141" s="81">
        <v>0</v>
      </c>
      <c r="D1141" s="82">
        <v>0</v>
      </c>
    </row>
    <row r="1142" spans="1:4" ht="28.5">
      <c r="A1142" s="78" t="s">
        <v>1271</v>
      </c>
      <c r="B1142" s="76">
        <v>50129</v>
      </c>
      <c r="C1142" s="81">
        <v>0</v>
      </c>
      <c r="D1142" s="82">
        <v>0</v>
      </c>
    </row>
    <row r="1143" spans="1:4">
      <c r="A1143" s="78" t="s">
        <v>1272</v>
      </c>
      <c r="B1143" s="76">
        <v>50156</v>
      </c>
      <c r="C1143" s="81">
        <v>0</v>
      </c>
      <c r="D1143" s="82">
        <v>0</v>
      </c>
    </row>
    <row r="1144" spans="1:4">
      <c r="A1144" s="78" t="s">
        <v>1273</v>
      </c>
      <c r="B1144" s="76">
        <v>50179</v>
      </c>
      <c r="C1144" s="81">
        <v>0</v>
      </c>
      <c r="D1144" s="82">
        <v>0</v>
      </c>
    </row>
    <row r="1145" spans="1:4">
      <c r="A1145" s="78" t="s">
        <v>1274</v>
      </c>
      <c r="B1145" s="76">
        <v>50180</v>
      </c>
      <c r="C1145" s="81">
        <v>0</v>
      </c>
      <c r="D1145" s="82">
        <v>0</v>
      </c>
    </row>
    <row r="1146" spans="1:4" ht="28.5">
      <c r="A1146" s="78" t="s">
        <v>1275</v>
      </c>
      <c r="B1146" s="76">
        <v>50206</v>
      </c>
      <c r="C1146" s="81">
        <v>0</v>
      </c>
      <c r="D1146" s="82">
        <v>0</v>
      </c>
    </row>
    <row r="1147" spans="1:4" ht="28.5">
      <c r="A1147" s="78" t="s">
        <v>1276</v>
      </c>
      <c r="B1147" s="76">
        <v>50218</v>
      </c>
      <c r="C1147" s="81">
        <v>0</v>
      </c>
      <c r="D1147" s="82">
        <v>0</v>
      </c>
    </row>
    <row r="1148" spans="1:4" ht="28.5">
      <c r="A1148" s="78" t="s">
        <v>1277</v>
      </c>
      <c r="B1148" s="76">
        <v>50219</v>
      </c>
      <c r="C1148" s="81">
        <v>0</v>
      </c>
      <c r="D1148" s="82">
        <v>0</v>
      </c>
    </row>
    <row r="1149" spans="1:4">
      <c r="A1149" s="78" t="s">
        <v>1278</v>
      </c>
      <c r="B1149" s="76">
        <v>50223</v>
      </c>
      <c r="C1149" s="81">
        <v>0</v>
      </c>
      <c r="D1149" s="82">
        <v>0</v>
      </c>
    </row>
    <row r="1150" spans="1:4" ht="28.5">
      <c r="A1150" s="78" t="s">
        <v>1279</v>
      </c>
      <c r="B1150" s="76">
        <v>50233</v>
      </c>
      <c r="C1150" s="81">
        <v>0</v>
      </c>
      <c r="D1150" s="82">
        <v>0</v>
      </c>
    </row>
    <row r="1151" spans="1:4">
      <c r="A1151" s="78" t="s">
        <v>1280</v>
      </c>
      <c r="B1151" s="76">
        <v>50261</v>
      </c>
      <c r="C1151" s="81">
        <v>0</v>
      </c>
      <c r="D1151" s="82">
        <v>0</v>
      </c>
    </row>
    <row r="1152" spans="1:4" ht="28.5">
      <c r="A1152" s="78" t="s">
        <v>1281</v>
      </c>
      <c r="B1152" s="76">
        <v>50267</v>
      </c>
      <c r="C1152" s="81">
        <v>0</v>
      </c>
      <c r="D1152" s="82">
        <v>0</v>
      </c>
    </row>
    <row r="1153" spans="1:4">
      <c r="A1153" s="78" t="s">
        <v>1282</v>
      </c>
      <c r="B1153" s="76">
        <v>50276</v>
      </c>
      <c r="C1153" s="81">
        <v>0</v>
      </c>
      <c r="D1153" s="82">
        <v>0</v>
      </c>
    </row>
    <row r="1154" spans="1:4" ht="28.5">
      <c r="A1154" s="78" t="s">
        <v>1283</v>
      </c>
      <c r="B1154" s="76">
        <v>50281</v>
      </c>
      <c r="C1154" s="81">
        <v>0</v>
      </c>
      <c r="D1154" s="82">
        <v>0</v>
      </c>
    </row>
    <row r="1155" spans="1:4">
      <c r="A1155" s="78" t="s">
        <v>1284</v>
      </c>
      <c r="B1155" s="76">
        <v>50322</v>
      </c>
      <c r="C1155" s="81">
        <v>0</v>
      </c>
      <c r="D1155" s="82">
        <v>0</v>
      </c>
    </row>
    <row r="1156" spans="1:4">
      <c r="A1156" s="78" t="s">
        <v>1285</v>
      </c>
      <c r="B1156" s="76">
        <v>50323</v>
      </c>
      <c r="C1156" s="81">
        <v>0</v>
      </c>
      <c r="D1156" s="82">
        <v>0</v>
      </c>
    </row>
    <row r="1157" spans="1:4" ht="28.5">
      <c r="A1157" s="78" t="s">
        <v>1286</v>
      </c>
      <c r="B1157" s="76">
        <v>50350</v>
      </c>
      <c r="C1157" s="81">
        <v>0</v>
      </c>
      <c r="D1157" s="82">
        <v>0</v>
      </c>
    </row>
    <row r="1158" spans="1:4" ht="28.5">
      <c r="A1158" s="78" t="s">
        <v>1287</v>
      </c>
      <c r="B1158" s="76">
        <v>50352</v>
      </c>
      <c r="C1158" s="81">
        <v>0</v>
      </c>
      <c r="D1158" s="82">
        <v>0</v>
      </c>
    </row>
    <row r="1159" spans="1:4" ht="28.5">
      <c r="A1159" s="78" t="s">
        <v>1288</v>
      </c>
      <c r="B1159" s="76">
        <v>50360</v>
      </c>
      <c r="C1159" s="81">
        <v>0</v>
      </c>
      <c r="D1159" s="82">
        <v>0</v>
      </c>
    </row>
    <row r="1160" spans="1:4" ht="28.5">
      <c r="A1160" s="78" t="s">
        <v>1289</v>
      </c>
      <c r="B1160" s="76">
        <v>50361</v>
      </c>
      <c r="C1160" s="81">
        <v>0</v>
      </c>
      <c r="D1160" s="82">
        <v>0</v>
      </c>
    </row>
    <row r="1161" spans="1:4" ht="28.5">
      <c r="A1161" s="78" t="s">
        <v>1290</v>
      </c>
      <c r="B1161" s="76">
        <v>50362</v>
      </c>
      <c r="C1161" s="81">
        <v>0</v>
      </c>
      <c r="D1161" s="82">
        <v>0</v>
      </c>
    </row>
    <row r="1162" spans="1:4" ht="28.5">
      <c r="A1162" s="78" t="s">
        <v>1291</v>
      </c>
      <c r="B1162" s="76">
        <v>50375</v>
      </c>
      <c r="C1162" s="81">
        <v>0</v>
      </c>
      <c r="D1162" s="82">
        <v>0</v>
      </c>
    </row>
    <row r="1163" spans="1:4" ht="28.5">
      <c r="A1163" s="78" t="s">
        <v>1292</v>
      </c>
      <c r="B1163" s="76">
        <v>50380</v>
      </c>
      <c r="C1163" s="81">
        <v>0</v>
      </c>
      <c r="D1163" s="82">
        <v>0</v>
      </c>
    </row>
    <row r="1164" spans="1:4">
      <c r="A1164" s="78" t="s">
        <v>1293</v>
      </c>
      <c r="B1164" s="76">
        <v>50382</v>
      </c>
      <c r="C1164" s="81">
        <v>0</v>
      </c>
      <c r="D1164" s="82">
        <v>0</v>
      </c>
    </row>
    <row r="1165" spans="1:4" ht="28.5">
      <c r="A1165" s="78" t="s">
        <v>1294</v>
      </c>
      <c r="B1165" s="76">
        <v>50393</v>
      </c>
      <c r="C1165" s="81">
        <v>0</v>
      </c>
      <c r="D1165" s="82">
        <v>0</v>
      </c>
    </row>
    <row r="1166" spans="1:4" ht="28.5">
      <c r="A1166" s="78" t="s">
        <v>1295</v>
      </c>
      <c r="B1166" s="76">
        <v>50400</v>
      </c>
      <c r="C1166" s="81">
        <v>0</v>
      </c>
      <c r="D1166" s="82">
        <v>0</v>
      </c>
    </row>
    <row r="1167" spans="1:4">
      <c r="A1167" s="78" t="s">
        <v>1296</v>
      </c>
      <c r="B1167" s="76">
        <v>50421</v>
      </c>
      <c r="C1167" s="81">
        <v>0</v>
      </c>
      <c r="D1167" s="82">
        <v>0</v>
      </c>
    </row>
    <row r="1168" spans="1:4">
      <c r="A1168" s="78" t="s">
        <v>1297</v>
      </c>
      <c r="B1168" s="76">
        <v>50423</v>
      </c>
      <c r="C1168" s="81">
        <v>0</v>
      </c>
      <c r="D1168" s="82">
        <v>0</v>
      </c>
    </row>
    <row r="1169" spans="1:4" ht="28.5">
      <c r="A1169" s="78" t="s">
        <v>1298</v>
      </c>
      <c r="B1169" s="76">
        <v>50435</v>
      </c>
      <c r="C1169" s="81">
        <v>0</v>
      </c>
      <c r="D1169" s="82">
        <v>0</v>
      </c>
    </row>
    <row r="1170" spans="1:4" ht="28.5">
      <c r="A1170" s="78" t="s">
        <v>1299</v>
      </c>
      <c r="B1170" s="76">
        <v>50532</v>
      </c>
      <c r="C1170" s="81">
        <v>0</v>
      </c>
      <c r="D1170" s="82">
        <v>0</v>
      </c>
    </row>
    <row r="1171" spans="1:4" ht="28.5">
      <c r="A1171" s="78" t="s">
        <v>1300</v>
      </c>
      <c r="B1171" s="76">
        <v>50533</v>
      </c>
      <c r="C1171" s="81">
        <v>0</v>
      </c>
      <c r="D1171" s="82">
        <v>0</v>
      </c>
    </row>
    <row r="1172" spans="1:4" ht="28.5">
      <c r="A1172" s="78" t="s">
        <v>1301</v>
      </c>
      <c r="B1172" s="76">
        <v>50544</v>
      </c>
      <c r="C1172" s="81">
        <v>0</v>
      </c>
      <c r="D1172" s="82">
        <v>0</v>
      </c>
    </row>
    <row r="1173" spans="1:4">
      <c r="A1173" s="78" t="s">
        <v>1302</v>
      </c>
      <c r="B1173" s="76">
        <v>50546</v>
      </c>
      <c r="C1173" s="81">
        <v>0</v>
      </c>
      <c r="D1173" s="82">
        <v>0</v>
      </c>
    </row>
    <row r="1174" spans="1:4" ht="28.5">
      <c r="A1174" s="78" t="s">
        <v>1303</v>
      </c>
      <c r="B1174" s="76">
        <v>50552</v>
      </c>
      <c r="C1174" s="81">
        <v>0</v>
      </c>
      <c r="D1174" s="82">
        <v>0</v>
      </c>
    </row>
    <row r="1175" spans="1:4" ht="28.5">
      <c r="A1175" s="78" t="s">
        <v>1304</v>
      </c>
      <c r="B1175" s="76">
        <v>50553</v>
      </c>
      <c r="C1175" s="81">
        <v>0</v>
      </c>
      <c r="D1175" s="82">
        <v>0</v>
      </c>
    </row>
    <row r="1176" spans="1:4" ht="28.5">
      <c r="A1176" s="78" t="s">
        <v>1305</v>
      </c>
      <c r="B1176" s="76">
        <v>50690</v>
      </c>
      <c r="C1176" s="81">
        <v>0</v>
      </c>
      <c r="D1176" s="82">
        <v>0</v>
      </c>
    </row>
    <row r="1177" spans="1:4" ht="28.5">
      <c r="A1177" s="78" t="s">
        <v>1306</v>
      </c>
      <c r="B1177" s="76">
        <v>50700</v>
      </c>
      <c r="C1177" s="81">
        <v>0</v>
      </c>
      <c r="D1177" s="82">
        <v>0</v>
      </c>
    </row>
    <row r="1178" spans="1:4">
      <c r="A1178" s="78" t="s">
        <v>1307</v>
      </c>
      <c r="B1178" s="76">
        <v>50718</v>
      </c>
      <c r="C1178" s="81">
        <v>0</v>
      </c>
      <c r="D1178" s="82">
        <v>0</v>
      </c>
    </row>
    <row r="1179" spans="1:4" ht="28.5">
      <c r="A1179" s="78" t="s">
        <v>1308</v>
      </c>
      <c r="B1179" s="76">
        <v>50754</v>
      </c>
      <c r="C1179" s="81">
        <v>0</v>
      </c>
      <c r="D1179" s="82">
        <v>0</v>
      </c>
    </row>
    <row r="1180" spans="1:4" ht="28.5">
      <c r="A1180" s="78" t="s">
        <v>1309</v>
      </c>
      <c r="B1180" s="76">
        <v>50755</v>
      </c>
      <c r="C1180" s="81">
        <v>0</v>
      </c>
      <c r="D1180" s="82">
        <v>0</v>
      </c>
    </row>
    <row r="1181" spans="1:4">
      <c r="A1181" s="78" t="s">
        <v>1310</v>
      </c>
      <c r="B1181" s="76">
        <v>50765</v>
      </c>
      <c r="C1181" s="81">
        <v>0</v>
      </c>
      <c r="D1181" s="82">
        <v>0</v>
      </c>
    </row>
    <row r="1182" spans="1:4" ht="28.5">
      <c r="A1182" s="78" t="s">
        <v>1311</v>
      </c>
      <c r="B1182" s="76">
        <v>50820</v>
      </c>
      <c r="C1182" s="81">
        <v>0</v>
      </c>
      <c r="D1182" s="82">
        <v>0</v>
      </c>
    </row>
    <row r="1183" spans="1:4">
      <c r="A1183" s="78" t="s">
        <v>1312</v>
      </c>
      <c r="B1183" s="76">
        <v>50821</v>
      </c>
      <c r="C1183" s="81">
        <v>0</v>
      </c>
      <c r="D1183" s="82">
        <v>0</v>
      </c>
    </row>
    <row r="1184" spans="1:4">
      <c r="A1184" s="78" t="s">
        <v>1313</v>
      </c>
      <c r="B1184" s="76">
        <v>50827</v>
      </c>
      <c r="C1184" s="81">
        <v>0</v>
      </c>
      <c r="D1184" s="82">
        <v>0</v>
      </c>
    </row>
    <row r="1185" spans="1:4">
      <c r="A1185" s="78" t="s">
        <v>1314</v>
      </c>
      <c r="B1185" s="76">
        <v>50892</v>
      </c>
      <c r="C1185" s="81">
        <v>0</v>
      </c>
      <c r="D1185" s="82">
        <v>0</v>
      </c>
    </row>
    <row r="1186" spans="1:4">
      <c r="A1186" s="78" t="s">
        <v>1315</v>
      </c>
      <c r="B1186" s="76">
        <v>50895</v>
      </c>
      <c r="C1186" s="81">
        <v>0</v>
      </c>
      <c r="D1186" s="82">
        <v>0</v>
      </c>
    </row>
    <row r="1187" spans="1:4">
      <c r="A1187" s="78" t="s">
        <v>1316</v>
      </c>
      <c r="B1187" s="76">
        <v>50896</v>
      </c>
      <c r="C1187" s="81">
        <v>0</v>
      </c>
      <c r="D1187" s="82">
        <v>0</v>
      </c>
    </row>
    <row r="1188" spans="1:4">
      <c r="A1188" s="78" t="s">
        <v>1317</v>
      </c>
      <c r="B1188" s="76">
        <v>50938</v>
      </c>
      <c r="C1188" s="81">
        <v>0</v>
      </c>
      <c r="D1188" s="82">
        <v>0</v>
      </c>
    </row>
    <row r="1189" spans="1:4">
      <c r="A1189" s="78" t="s">
        <v>1318</v>
      </c>
      <c r="B1189" s="76">
        <v>50961</v>
      </c>
      <c r="C1189" s="81">
        <v>0</v>
      </c>
      <c r="D1189" s="82">
        <v>0</v>
      </c>
    </row>
    <row r="1190" spans="1:4" ht="28.5">
      <c r="A1190" s="78" t="s">
        <v>1319</v>
      </c>
      <c r="B1190" s="76">
        <v>50972</v>
      </c>
      <c r="C1190" s="81">
        <v>0</v>
      </c>
      <c r="D1190" s="82">
        <v>0</v>
      </c>
    </row>
    <row r="1191" spans="1:4" ht="28.5">
      <c r="A1191" s="78" t="s">
        <v>1320</v>
      </c>
      <c r="B1191" s="76">
        <v>50980</v>
      </c>
      <c r="C1191" s="81">
        <v>0</v>
      </c>
      <c r="D1191" s="82">
        <v>0</v>
      </c>
    </row>
    <row r="1192" spans="1:4">
      <c r="A1192" s="78" t="s">
        <v>1321</v>
      </c>
      <c r="B1192" s="76">
        <v>50987</v>
      </c>
      <c r="C1192" s="81">
        <v>0</v>
      </c>
      <c r="D1192" s="82">
        <v>0</v>
      </c>
    </row>
    <row r="1193" spans="1:4" ht="28.5">
      <c r="A1193" s="78" t="s">
        <v>1322</v>
      </c>
      <c r="B1193" s="76">
        <v>52039</v>
      </c>
      <c r="C1193" s="81">
        <v>0</v>
      </c>
      <c r="D1193" s="82">
        <v>0</v>
      </c>
    </row>
    <row r="1194" spans="1:4">
      <c r="A1194" s="78" t="s">
        <v>1323</v>
      </c>
      <c r="B1194" s="76">
        <v>52142</v>
      </c>
      <c r="C1194" s="81">
        <v>0</v>
      </c>
      <c r="D1194" s="82">
        <v>0</v>
      </c>
    </row>
    <row r="1195" spans="1:4" ht="28.5">
      <c r="A1195" s="78" t="s">
        <v>1324</v>
      </c>
      <c r="B1195" s="76">
        <v>52155</v>
      </c>
      <c r="C1195" s="81">
        <v>0</v>
      </c>
      <c r="D1195" s="82">
        <v>0</v>
      </c>
    </row>
    <row r="1196" spans="1:4">
      <c r="A1196" s="78" t="s">
        <v>1325</v>
      </c>
      <c r="B1196" s="76">
        <v>52162</v>
      </c>
      <c r="C1196" s="81">
        <v>0</v>
      </c>
      <c r="D1196" s="82">
        <v>0</v>
      </c>
    </row>
    <row r="1197" spans="1:4">
      <c r="A1197" s="78" t="s">
        <v>1326</v>
      </c>
      <c r="B1197" s="76">
        <v>52163</v>
      </c>
      <c r="C1197" s="81">
        <v>0</v>
      </c>
      <c r="D1197" s="82">
        <v>0</v>
      </c>
    </row>
    <row r="1198" spans="1:4">
      <c r="A1198" s="78" t="s">
        <v>1327</v>
      </c>
      <c r="B1198" s="76">
        <v>52187</v>
      </c>
      <c r="C1198" s="81">
        <v>0</v>
      </c>
      <c r="D1198" s="82">
        <v>0</v>
      </c>
    </row>
    <row r="1199" spans="1:4" ht="28.5">
      <c r="A1199" s="78" t="s">
        <v>1328</v>
      </c>
      <c r="B1199" s="76">
        <v>54006</v>
      </c>
      <c r="C1199" s="81">
        <v>0</v>
      </c>
      <c r="D1199" s="82">
        <v>0</v>
      </c>
    </row>
    <row r="1200" spans="1:4" ht="28.5">
      <c r="A1200" s="78" t="s">
        <v>1329</v>
      </c>
      <c r="B1200" s="76">
        <v>54017</v>
      </c>
      <c r="C1200" s="81">
        <v>0</v>
      </c>
      <c r="D1200" s="82">
        <v>0</v>
      </c>
    </row>
    <row r="1201" spans="1:4" ht="28.5">
      <c r="A1201" s="78" t="s">
        <v>1330</v>
      </c>
      <c r="B1201" s="76">
        <v>54111</v>
      </c>
      <c r="C1201" s="81">
        <v>0</v>
      </c>
      <c r="D1201" s="82">
        <v>0</v>
      </c>
    </row>
    <row r="1202" spans="1:4" ht="28.5">
      <c r="A1202" s="78" t="s">
        <v>1331</v>
      </c>
      <c r="B1202" s="76">
        <v>54142</v>
      </c>
      <c r="C1202" s="81">
        <v>0</v>
      </c>
      <c r="D1202" s="82">
        <v>0</v>
      </c>
    </row>
    <row r="1203" spans="1:4" ht="28.5">
      <c r="A1203" s="78" t="s">
        <v>1332</v>
      </c>
      <c r="B1203" s="76">
        <v>54251</v>
      </c>
      <c r="C1203" s="81">
        <v>0</v>
      </c>
      <c r="D1203" s="82">
        <v>0</v>
      </c>
    </row>
    <row r="1204" spans="1:4" ht="28.5">
      <c r="A1204" s="78" t="s">
        <v>1333</v>
      </c>
      <c r="B1204" s="76">
        <v>54261</v>
      </c>
      <c r="C1204" s="81">
        <v>0</v>
      </c>
      <c r="D1204" s="82">
        <v>0</v>
      </c>
    </row>
    <row r="1205" spans="1:4">
      <c r="A1205" s="78" t="s">
        <v>1334</v>
      </c>
      <c r="B1205" s="76">
        <v>54267</v>
      </c>
      <c r="C1205" s="81">
        <v>0</v>
      </c>
      <c r="D1205" s="82">
        <v>0</v>
      </c>
    </row>
    <row r="1206" spans="1:4" ht="28.5">
      <c r="A1206" s="78" t="s">
        <v>1335</v>
      </c>
      <c r="B1206" s="76">
        <v>54298</v>
      </c>
      <c r="C1206" s="81">
        <v>0</v>
      </c>
      <c r="D1206" s="82">
        <v>0</v>
      </c>
    </row>
    <row r="1207" spans="1:4" ht="28.5">
      <c r="A1207" s="78" t="s">
        <v>1336</v>
      </c>
      <c r="B1207" s="76">
        <v>54300</v>
      </c>
      <c r="C1207" s="81">
        <v>0</v>
      </c>
      <c r="D1207" s="82">
        <v>0</v>
      </c>
    </row>
    <row r="1208" spans="1:4" ht="42.75">
      <c r="A1208" s="78" t="s">
        <v>1337</v>
      </c>
      <c r="B1208" s="76">
        <v>54306</v>
      </c>
      <c r="C1208" s="81">
        <v>0</v>
      </c>
      <c r="D1208" s="82">
        <v>0</v>
      </c>
    </row>
    <row r="1209" spans="1:4" ht="42.75">
      <c r="A1209" s="78" t="s">
        <v>1338</v>
      </c>
      <c r="B1209" s="76">
        <v>54308</v>
      </c>
      <c r="C1209" s="81">
        <v>0</v>
      </c>
      <c r="D1209" s="82">
        <v>0</v>
      </c>
    </row>
    <row r="1210" spans="1:4" ht="42.75">
      <c r="A1210" s="78" t="s">
        <v>1339</v>
      </c>
      <c r="B1210" s="76">
        <v>54343</v>
      </c>
      <c r="C1210" s="81">
        <v>0</v>
      </c>
      <c r="D1210" s="82">
        <v>0</v>
      </c>
    </row>
    <row r="1211" spans="1:4" ht="28.5">
      <c r="A1211" s="78" t="s">
        <v>1340</v>
      </c>
      <c r="B1211" s="76">
        <v>54386</v>
      </c>
      <c r="C1211" s="81">
        <v>0</v>
      </c>
      <c r="D1211" s="82">
        <v>0</v>
      </c>
    </row>
    <row r="1212" spans="1:4">
      <c r="A1212" s="78" t="s">
        <v>1341</v>
      </c>
      <c r="B1212" s="76">
        <v>54387</v>
      </c>
      <c r="C1212" s="81">
        <v>0</v>
      </c>
      <c r="D1212" s="82">
        <v>0</v>
      </c>
    </row>
    <row r="1213" spans="1:4">
      <c r="A1213" s="78" t="s">
        <v>1342</v>
      </c>
      <c r="B1213" s="76">
        <v>54394</v>
      </c>
      <c r="C1213" s="81">
        <v>0</v>
      </c>
      <c r="D1213" s="82">
        <v>0</v>
      </c>
    </row>
    <row r="1214" spans="1:4" ht="28.5">
      <c r="A1214" s="78" t="s">
        <v>1343</v>
      </c>
      <c r="B1214" s="76">
        <v>54453</v>
      </c>
      <c r="C1214" s="81">
        <v>0</v>
      </c>
      <c r="D1214" s="82">
        <v>0</v>
      </c>
    </row>
    <row r="1215" spans="1:4" ht="42.75">
      <c r="A1215" s="78" t="s">
        <v>1344</v>
      </c>
      <c r="B1215" s="76">
        <v>54454</v>
      </c>
      <c r="C1215" s="81">
        <v>0</v>
      </c>
      <c r="D1215" s="82">
        <v>0</v>
      </c>
    </row>
    <row r="1216" spans="1:4" ht="28.5">
      <c r="A1216" s="78" t="s">
        <v>1345</v>
      </c>
      <c r="B1216" s="76">
        <v>54514</v>
      </c>
      <c r="C1216" s="81">
        <v>0</v>
      </c>
      <c r="D1216" s="82">
        <v>0</v>
      </c>
    </row>
    <row r="1217" spans="1:4" ht="28.5">
      <c r="A1217" s="78" t="s">
        <v>1346</v>
      </c>
      <c r="B1217" s="76">
        <v>54524</v>
      </c>
      <c r="C1217" s="81">
        <v>0</v>
      </c>
      <c r="D1217" s="82">
        <v>0</v>
      </c>
    </row>
    <row r="1218" spans="1:4" ht="28.5">
      <c r="A1218" s="78" t="s">
        <v>1347</v>
      </c>
      <c r="B1218" s="76">
        <v>54554</v>
      </c>
      <c r="C1218" s="81">
        <v>0</v>
      </c>
      <c r="D1218" s="82">
        <v>0</v>
      </c>
    </row>
    <row r="1219" spans="1:4" ht="28.5">
      <c r="A1219" s="78" t="s">
        <v>1348</v>
      </c>
      <c r="B1219" s="76">
        <v>54555</v>
      </c>
      <c r="C1219" s="81">
        <v>0</v>
      </c>
      <c r="D1219" s="82">
        <v>0</v>
      </c>
    </row>
    <row r="1220" spans="1:4">
      <c r="A1220" s="78" t="s">
        <v>1349</v>
      </c>
      <c r="B1220" s="76">
        <v>54558</v>
      </c>
      <c r="C1220" s="81">
        <v>0</v>
      </c>
      <c r="D1220" s="82">
        <v>0</v>
      </c>
    </row>
    <row r="1221" spans="1:4" ht="28.5">
      <c r="A1221" s="78" t="s">
        <v>1350</v>
      </c>
      <c r="B1221" s="76">
        <v>54647</v>
      </c>
      <c r="C1221" s="81">
        <v>0</v>
      </c>
      <c r="D1221" s="82">
        <v>0</v>
      </c>
    </row>
    <row r="1222" spans="1:4" ht="28.5">
      <c r="A1222" s="78" t="s">
        <v>1351</v>
      </c>
      <c r="B1222" s="76">
        <v>54654</v>
      </c>
      <c r="C1222" s="81">
        <v>0</v>
      </c>
      <c r="D1222" s="82">
        <v>0</v>
      </c>
    </row>
    <row r="1223" spans="1:4">
      <c r="A1223" s="78" t="s">
        <v>1352</v>
      </c>
      <c r="B1223" s="76">
        <v>54665</v>
      </c>
      <c r="C1223" s="81">
        <v>0</v>
      </c>
      <c r="D1223" s="82">
        <v>0</v>
      </c>
    </row>
    <row r="1224" spans="1:4">
      <c r="A1224" s="78" t="s">
        <v>1353</v>
      </c>
      <c r="B1224" s="76">
        <v>54668</v>
      </c>
      <c r="C1224" s="81">
        <v>0</v>
      </c>
      <c r="D1224" s="82">
        <v>0</v>
      </c>
    </row>
    <row r="1225" spans="1:4">
      <c r="A1225" s="78" t="s">
        <v>1354</v>
      </c>
      <c r="B1225" s="76">
        <v>54674</v>
      </c>
      <c r="C1225" s="81">
        <v>0</v>
      </c>
      <c r="D1225" s="82">
        <v>0</v>
      </c>
    </row>
    <row r="1226" spans="1:4" ht="28.5">
      <c r="A1226" s="78" t="s">
        <v>1355</v>
      </c>
      <c r="B1226" s="76">
        <v>54679</v>
      </c>
      <c r="C1226" s="81">
        <v>0</v>
      </c>
      <c r="D1226" s="82">
        <v>0</v>
      </c>
    </row>
    <row r="1227" spans="1:4" ht="42.75">
      <c r="A1227" s="78" t="s">
        <v>1356</v>
      </c>
      <c r="B1227" s="76">
        <v>54680</v>
      </c>
      <c r="C1227" s="81">
        <v>0</v>
      </c>
      <c r="D1227" s="82">
        <v>0</v>
      </c>
    </row>
    <row r="1228" spans="1:4" ht="28.5">
      <c r="A1228" s="78" t="s">
        <v>1357</v>
      </c>
      <c r="B1228" s="76">
        <v>54686</v>
      </c>
      <c r="C1228" s="81">
        <v>0</v>
      </c>
      <c r="D1228" s="82">
        <v>0</v>
      </c>
    </row>
    <row r="1229" spans="1:4" ht="28.5">
      <c r="A1229" s="78" t="s">
        <v>1358</v>
      </c>
      <c r="B1229" s="76">
        <v>54721</v>
      </c>
      <c r="C1229" s="81">
        <v>0</v>
      </c>
      <c r="D1229" s="82">
        <v>0</v>
      </c>
    </row>
    <row r="1230" spans="1:4" ht="42.75">
      <c r="A1230" s="78" t="s">
        <v>1359</v>
      </c>
      <c r="B1230" s="76">
        <v>54729</v>
      </c>
      <c r="C1230" s="81">
        <v>0</v>
      </c>
      <c r="D1230" s="82">
        <v>0</v>
      </c>
    </row>
    <row r="1231" spans="1:4">
      <c r="A1231" s="78" t="s">
        <v>1360</v>
      </c>
      <c r="B1231" s="76">
        <v>54750</v>
      </c>
      <c r="C1231" s="81">
        <v>0</v>
      </c>
      <c r="D1231" s="82">
        <v>0</v>
      </c>
    </row>
    <row r="1232" spans="1:4" ht="28.5">
      <c r="A1232" s="78" t="s">
        <v>1361</v>
      </c>
      <c r="B1232" s="76">
        <v>54753</v>
      </c>
      <c r="C1232" s="81">
        <v>0</v>
      </c>
      <c r="D1232" s="82">
        <v>0</v>
      </c>
    </row>
    <row r="1233" spans="1:4" ht="28.5">
      <c r="A1233" s="78" t="s">
        <v>1362</v>
      </c>
      <c r="B1233" s="76">
        <v>54812</v>
      </c>
      <c r="C1233" s="81">
        <v>0</v>
      </c>
      <c r="D1233" s="82">
        <v>0</v>
      </c>
    </row>
    <row r="1234" spans="1:4">
      <c r="A1234" s="78" t="s">
        <v>1363</v>
      </c>
      <c r="B1234" s="76">
        <v>54860</v>
      </c>
      <c r="C1234" s="81">
        <v>0</v>
      </c>
      <c r="D1234" s="82">
        <v>0</v>
      </c>
    </row>
    <row r="1235" spans="1:4" ht="28.5">
      <c r="A1235" s="78" t="s">
        <v>1364</v>
      </c>
      <c r="B1235" s="76">
        <v>54909</v>
      </c>
      <c r="C1235" s="81">
        <v>0</v>
      </c>
      <c r="D1235" s="82">
        <v>0</v>
      </c>
    </row>
    <row r="1236" spans="1:4">
      <c r="A1236" s="78" t="s">
        <v>1365</v>
      </c>
      <c r="B1236" s="76">
        <v>54931</v>
      </c>
      <c r="C1236" s="81">
        <v>0</v>
      </c>
      <c r="D1236" s="82">
        <v>0</v>
      </c>
    </row>
    <row r="1237" spans="1:4" ht="28.5">
      <c r="A1237" s="78" t="s">
        <v>1366</v>
      </c>
      <c r="B1237" s="76">
        <v>55009</v>
      </c>
      <c r="C1237" s="81">
        <v>0</v>
      </c>
      <c r="D1237" s="82">
        <v>0</v>
      </c>
    </row>
    <row r="1238" spans="1:4">
      <c r="A1238" s="78" t="s">
        <v>1367</v>
      </c>
      <c r="B1238" s="76">
        <v>55125</v>
      </c>
      <c r="C1238" s="81">
        <v>0</v>
      </c>
      <c r="D1238" s="82">
        <v>0</v>
      </c>
    </row>
    <row r="1239" spans="1:4" ht="28.5">
      <c r="A1239" s="78" t="s">
        <v>1368</v>
      </c>
      <c r="B1239" s="76">
        <v>55339</v>
      </c>
      <c r="C1239" s="81">
        <v>0</v>
      </c>
      <c r="D1239" s="82">
        <v>0</v>
      </c>
    </row>
    <row r="1240" spans="1:4" ht="42.75">
      <c r="A1240" s="78" t="s">
        <v>1369</v>
      </c>
      <c r="B1240" s="76">
        <v>55560</v>
      </c>
      <c r="C1240" s="81">
        <v>0</v>
      </c>
      <c r="D1240" s="82">
        <v>0</v>
      </c>
    </row>
    <row r="1241" spans="1:4">
      <c r="A1241" s="78" t="s">
        <v>1370</v>
      </c>
      <c r="B1241" s="76">
        <v>55607</v>
      </c>
      <c r="C1241" s="81">
        <v>0</v>
      </c>
      <c r="D1241" s="82">
        <v>0</v>
      </c>
    </row>
    <row r="1242" spans="1:4">
      <c r="A1242" s="78" t="s">
        <v>1371</v>
      </c>
      <c r="B1242" s="76">
        <v>55609</v>
      </c>
      <c r="C1242" s="81">
        <v>0</v>
      </c>
      <c r="D1242" s="82">
        <v>0</v>
      </c>
    </row>
    <row r="1243" spans="1:4">
      <c r="A1243" s="78" t="s">
        <v>1372</v>
      </c>
      <c r="B1243" s="76">
        <v>55610</v>
      </c>
      <c r="C1243" s="81">
        <v>0</v>
      </c>
      <c r="D1243" s="82">
        <v>0</v>
      </c>
    </row>
    <row r="1244" spans="1:4" ht="28.5">
      <c r="A1244" s="78" t="s">
        <v>1373</v>
      </c>
      <c r="B1244" s="76">
        <v>55719</v>
      </c>
      <c r="C1244" s="81">
        <v>0</v>
      </c>
      <c r="D1244" s="82">
        <v>0</v>
      </c>
    </row>
    <row r="1245" spans="1:4" ht="28.5">
      <c r="A1245" s="78" t="s">
        <v>1374</v>
      </c>
      <c r="B1245" s="76">
        <v>55741</v>
      </c>
      <c r="C1245" s="81">
        <v>0</v>
      </c>
      <c r="D1245" s="82">
        <v>0</v>
      </c>
    </row>
    <row r="1246" spans="1:4" ht="28.5">
      <c r="A1246" s="78" t="s">
        <v>1375</v>
      </c>
      <c r="B1246" s="76">
        <v>55931</v>
      </c>
      <c r="C1246" s="81">
        <v>0</v>
      </c>
      <c r="D1246" s="82">
        <v>0</v>
      </c>
    </row>
    <row r="1247" spans="1:4" ht="28.5">
      <c r="A1247" s="78" t="s">
        <v>1376</v>
      </c>
      <c r="B1247" s="76">
        <v>56011</v>
      </c>
      <c r="C1247" s="81">
        <v>0</v>
      </c>
      <c r="D1247" s="82">
        <v>0</v>
      </c>
    </row>
    <row r="1248" spans="1:4" ht="28.5">
      <c r="A1248" s="78" t="s">
        <v>1377</v>
      </c>
      <c r="B1248" s="76">
        <v>56012</v>
      </c>
      <c r="C1248" s="81">
        <v>0</v>
      </c>
      <c r="D1248" s="82">
        <v>0</v>
      </c>
    </row>
    <row r="1249" spans="1:4">
      <c r="A1249" s="78" t="s">
        <v>1378</v>
      </c>
      <c r="B1249" s="76">
        <v>56075</v>
      </c>
      <c r="C1249" s="81">
        <v>0</v>
      </c>
      <c r="D1249" s="82">
        <v>0</v>
      </c>
    </row>
    <row r="1250" spans="1:4" ht="28.5">
      <c r="A1250" s="78" t="s">
        <v>1379</v>
      </c>
      <c r="B1250" s="76">
        <v>56093</v>
      </c>
      <c r="C1250" s="81">
        <v>0</v>
      </c>
      <c r="D1250" s="82">
        <v>0</v>
      </c>
    </row>
    <row r="1251" spans="1:4">
      <c r="A1251" s="78" t="s">
        <v>1380</v>
      </c>
      <c r="B1251" s="76">
        <v>56112</v>
      </c>
      <c r="C1251" s="81">
        <v>0</v>
      </c>
      <c r="D1251" s="82">
        <v>0</v>
      </c>
    </row>
    <row r="1252" spans="1:4" ht="28.5">
      <c r="A1252" s="78" t="s">
        <v>1381</v>
      </c>
      <c r="B1252" s="76">
        <v>56125</v>
      </c>
      <c r="C1252" s="81">
        <v>0</v>
      </c>
      <c r="D1252" s="82">
        <v>0</v>
      </c>
    </row>
    <row r="1253" spans="1:4" ht="28.5">
      <c r="A1253" s="78" t="s">
        <v>1382</v>
      </c>
      <c r="B1253" s="76">
        <v>56173</v>
      </c>
      <c r="C1253" s="81">
        <v>0</v>
      </c>
      <c r="D1253" s="82">
        <v>0</v>
      </c>
    </row>
    <row r="1254" spans="1:4">
      <c r="A1254" s="78" t="s">
        <v>1383</v>
      </c>
      <c r="B1254" s="76">
        <v>56271</v>
      </c>
      <c r="C1254" s="81">
        <v>0</v>
      </c>
      <c r="D1254" s="82">
        <v>0</v>
      </c>
    </row>
    <row r="1255" spans="1:4" ht="28.5">
      <c r="A1255" s="78" t="s">
        <v>1384</v>
      </c>
      <c r="B1255" s="76">
        <v>56275</v>
      </c>
      <c r="C1255" s="81">
        <v>0</v>
      </c>
      <c r="D1255" s="82">
        <v>0</v>
      </c>
    </row>
    <row r="1256" spans="1:4">
      <c r="A1256" s="78" t="s">
        <v>1385</v>
      </c>
      <c r="B1256" s="76">
        <v>56276</v>
      </c>
      <c r="C1256" s="81">
        <v>0</v>
      </c>
      <c r="D1256" s="82">
        <v>0</v>
      </c>
    </row>
    <row r="1257" spans="1:4">
      <c r="A1257" s="78" t="s">
        <v>1386</v>
      </c>
      <c r="B1257" s="76">
        <v>56295</v>
      </c>
      <c r="C1257" s="81">
        <v>0</v>
      </c>
      <c r="D1257" s="82">
        <v>0</v>
      </c>
    </row>
    <row r="1258" spans="1:4">
      <c r="A1258" s="78" t="s">
        <v>1387</v>
      </c>
      <c r="B1258" s="76">
        <v>56301</v>
      </c>
      <c r="C1258" s="81">
        <v>0</v>
      </c>
      <c r="D1258" s="82">
        <v>0</v>
      </c>
    </row>
    <row r="1259" spans="1:4">
      <c r="A1259" s="78" t="s">
        <v>1388</v>
      </c>
      <c r="B1259" s="76">
        <v>56302</v>
      </c>
      <c r="C1259" s="81">
        <v>0</v>
      </c>
      <c r="D1259" s="82">
        <v>0</v>
      </c>
    </row>
    <row r="1260" spans="1:4">
      <c r="A1260" s="78" t="s">
        <v>1389</v>
      </c>
      <c r="B1260" s="76">
        <v>56308</v>
      </c>
      <c r="C1260" s="81">
        <v>0</v>
      </c>
      <c r="D1260" s="82">
        <v>0</v>
      </c>
    </row>
    <row r="1261" spans="1:4">
      <c r="A1261" s="78" t="s">
        <v>1390</v>
      </c>
      <c r="B1261" s="76">
        <v>56320</v>
      </c>
      <c r="C1261" s="81">
        <v>0</v>
      </c>
      <c r="D1261" s="82">
        <v>0</v>
      </c>
    </row>
    <row r="1262" spans="1:4" ht="28.5">
      <c r="A1262" s="78" t="s">
        <v>1391</v>
      </c>
      <c r="B1262" s="76">
        <v>56377</v>
      </c>
      <c r="C1262" s="81">
        <v>0</v>
      </c>
      <c r="D1262" s="82">
        <v>0</v>
      </c>
    </row>
    <row r="1263" spans="1:4">
      <c r="A1263" s="78" t="s">
        <v>1392</v>
      </c>
      <c r="B1263" s="76">
        <v>56405</v>
      </c>
      <c r="C1263" s="81">
        <v>0</v>
      </c>
      <c r="D1263" s="82">
        <v>0</v>
      </c>
    </row>
    <row r="1264" spans="1:4" ht="28.5">
      <c r="A1264" s="78" t="s">
        <v>1393</v>
      </c>
      <c r="B1264" s="76">
        <v>56433</v>
      </c>
      <c r="C1264" s="81">
        <v>0</v>
      </c>
      <c r="D1264" s="82">
        <v>0</v>
      </c>
    </row>
    <row r="1265" spans="1:4" ht="28.5">
      <c r="A1265" s="78" t="s">
        <v>1394</v>
      </c>
      <c r="B1265" s="76">
        <v>56434</v>
      </c>
      <c r="C1265" s="81">
        <v>0</v>
      </c>
      <c r="D1265" s="82">
        <v>0</v>
      </c>
    </row>
    <row r="1266" spans="1:4" ht="28.5">
      <c r="A1266" s="78" t="s">
        <v>1395</v>
      </c>
      <c r="B1266" s="76">
        <v>56435</v>
      </c>
      <c r="C1266" s="81">
        <v>0</v>
      </c>
      <c r="D1266" s="82">
        <v>0</v>
      </c>
    </row>
    <row r="1267" spans="1:4" ht="28.5">
      <c r="A1267" s="78" t="s">
        <v>1396</v>
      </c>
      <c r="B1267" s="76">
        <v>56437</v>
      </c>
      <c r="C1267" s="81">
        <v>0</v>
      </c>
      <c r="D1267" s="82">
        <v>0</v>
      </c>
    </row>
    <row r="1268" spans="1:4" ht="28.5">
      <c r="A1268" s="78" t="s">
        <v>1397</v>
      </c>
      <c r="B1268" s="76">
        <v>56439</v>
      </c>
      <c r="C1268" s="81">
        <v>0</v>
      </c>
      <c r="D1268" s="82">
        <v>0</v>
      </c>
    </row>
    <row r="1269" spans="1:4" ht="28.5">
      <c r="A1269" s="78" t="s">
        <v>1398</v>
      </c>
      <c r="B1269" s="76">
        <v>56440</v>
      </c>
      <c r="C1269" s="81">
        <v>0</v>
      </c>
      <c r="D1269" s="82">
        <v>0</v>
      </c>
    </row>
    <row r="1270" spans="1:4" ht="28.5">
      <c r="A1270" s="78" t="s">
        <v>1399</v>
      </c>
      <c r="B1270" s="76">
        <v>56441</v>
      </c>
      <c r="C1270" s="81">
        <v>0</v>
      </c>
      <c r="D1270" s="82">
        <v>0</v>
      </c>
    </row>
    <row r="1271" spans="1:4" ht="28.5">
      <c r="A1271" s="78" t="s">
        <v>1400</v>
      </c>
      <c r="B1271" s="76">
        <v>56442</v>
      </c>
      <c r="C1271" s="81">
        <v>0</v>
      </c>
      <c r="D1271" s="82">
        <v>0</v>
      </c>
    </row>
    <row r="1272" spans="1:4" ht="28.5">
      <c r="A1272" s="78" t="s">
        <v>1401</v>
      </c>
      <c r="B1272" s="76">
        <v>56443</v>
      </c>
      <c r="C1272" s="81">
        <v>0</v>
      </c>
      <c r="D1272" s="82">
        <v>0</v>
      </c>
    </row>
    <row r="1273" spans="1:4" ht="28.5">
      <c r="A1273" s="78" t="s">
        <v>1402</v>
      </c>
      <c r="B1273" s="76">
        <v>56460</v>
      </c>
      <c r="C1273" s="81">
        <v>0</v>
      </c>
      <c r="D1273" s="82">
        <v>0</v>
      </c>
    </row>
    <row r="1274" spans="1:4">
      <c r="A1274" s="78" t="s">
        <v>1403</v>
      </c>
      <c r="B1274" s="76">
        <v>56481</v>
      </c>
      <c r="C1274" s="81">
        <v>0</v>
      </c>
      <c r="D1274" s="82">
        <v>0</v>
      </c>
    </row>
    <row r="1275" spans="1:4" ht="42.75">
      <c r="A1275" s="78" t="s">
        <v>1404</v>
      </c>
      <c r="B1275" s="76">
        <v>56498</v>
      </c>
      <c r="C1275" s="81">
        <v>0</v>
      </c>
      <c r="D1275" s="82">
        <v>0</v>
      </c>
    </row>
    <row r="1276" spans="1:4" ht="42.75">
      <c r="A1276" s="78" t="s">
        <v>1405</v>
      </c>
      <c r="B1276" s="76">
        <v>56499</v>
      </c>
      <c r="C1276" s="81">
        <v>0</v>
      </c>
      <c r="D1276" s="82">
        <v>0</v>
      </c>
    </row>
    <row r="1277" spans="1:4" ht="28.5">
      <c r="A1277" s="78" t="s">
        <v>1406</v>
      </c>
      <c r="B1277" s="76">
        <v>56500</v>
      </c>
      <c r="C1277" s="81">
        <v>0</v>
      </c>
      <c r="D1277" s="82">
        <v>0</v>
      </c>
    </row>
    <row r="1278" spans="1:4" ht="28.5">
      <c r="A1278" s="78" t="s">
        <v>1407</v>
      </c>
      <c r="B1278" s="76">
        <v>56563</v>
      </c>
      <c r="C1278" s="81">
        <v>0</v>
      </c>
      <c r="D1278" s="82">
        <v>0</v>
      </c>
    </row>
    <row r="1279" spans="1:4" ht="28.5">
      <c r="A1279" s="78" t="s">
        <v>1408</v>
      </c>
      <c r="B1279" s="76">
        <v>56568</v>
      </c>
      <c r="C1279" s="81">
        <v>0</v>
      </c>
      <c r="D1279" s="82">
        <v>0</v>
      </c>
    </row>
    <row r="1280" spans="1:4" ht="28.5">
      <c r="A1280" s="78" t="s">
        <v>1409</v>
      </c>
      <c r="B1280" s="76">
        <v>56570</v>
      </c>
      <c r="C1280" s="81">
        <v>0</v>
      </c>
      <c r="D1280" s="82">
        <v>0</v>
      </c>
    </row>
    <row r="1281" spans="1:4" ht="28.5">
      <c r="A1281" s="78" t="s">
        <v>1410</v>
      </c>
      <c r="B1281" s="76">
        <v>56613</v>
      </c>
      <c r="C1281" s="81">
        <v>0</v>
      </c>
      <c r="D1281" s="82">
        <v>0</v>
      </c>
    </row>
    <row r="1282" spans="1:4" ht="28.5">
      <c r="A1282" s="78" t="s">
        <v>1411</v>
      </c>
      <c r="B1282" s="76">
        <v>56615</v>
      </c>
      <c r="C1282" s="81">
        <v>0</v>
      </c>
      <c r="D1282" s="82">
        <v>0</v>
      </c>
    </row>
    <row r="1283" spans="1:4">
      <c r="A1283" s="78" t="s">
        <v>1412</v>
      </c>
      <c r="B1283" s="76">
        <v>56636</v>
      </c>
      <c r="C1283" s="81">
        <v>0</v>
      </c>
      <c r="D1283" s="82">
        <v>0</v>
      </c>
    </row>
    <row r="1284" spans="1:4" ht="42.75">
      <c r="A1284" s="78" t="s">
        <v>1413</v>
      </c>
      <c r="B1284" s="76">
        <v>56637</v>
      </c>
      <c r="C1284" s="81">
        <v>0</v>
      </c>
      <c r="D1284" s="82">
        <v>0</v>
      </c>
    </row>
    <row r="1285" spans="1:4" ht="28.5">
      <c r="A1285" s="78" t="s">
        <v>1414</v>
      </c>
      <c r="B1285" s="76">
        <v>56654</v>
      </c>
      <c r="C1285" s="81">
        <v>0</v>
      </c>
      <c r="D1285" s="82">
        <v>0</v>
      </c>
    </row>
    <row r="1286" spans="1:4" ht="28.5">
      <c r="A1286" s="78" t="s">
        <v>1415</v>
      </c>
      <c r="B1286" s="76">
        <v>56751</v>
      </c>
      <c r="C1286" s="81">
        <v>0</v>
      </c>
      <c r="D1286" s="82">
        <v>0</v>
      </c>
    </row>
    <row r="1287" spans="1:4" ht="28.5">
      <c r="A1287" s="78" t="s">
        <v>1416</v>
      </c>
      <c r="B1287" s="76">
        <v>56752</v>
      </c>
      <c r="C1287" s="81">
        <v>0</v>
      </c>
      <c r="D1287" s="82">
        <v>0</v>
      </c>
    </row>
    <row r="1288" spans="1:4" ht="28.5">
      <c r="A1288" s="78" t="s">
        <v>1417</v>
      </c>
      <c r="B1288" s="76">
        <v>56753</v>
      </c>
      <c r="C1288" s="81">
        <v>0</v>
      </c>
      <c r="D1288" s="82">
        <v>0</v>
      </c>
    </row>
    <row r="1289" spans="1:4">
      <c r="A1289" s="78" t="s">
        <v>1418</v>
      </c>
      <c r="B1289" s="76">
        <v>56768</v>
      </c>
      <c r="C1289" s="81">
        <v>0</v>
      </c>
      <c r="D1289" s="82">
        <v>0</v>
      </c>
    </row>
    <row r="1290" spans="1:4">
      <c r="A1290" s="78" t="s">
        <v>1419</v>
      </c>
      <c r="B1290" s="76">
        <v>56791</v>
      </c>
      <c r="C1290" s="81">
        <v>0</v>
      </c>
      <c r="D1290" s="82">
        <v>0</v>
      </c>
    </row>
    <row r="1291" spans="1:4" ht="28.5">
      <c r="A1291" s="78" t="s">
        <v>1420</v>
      </c>
      <c r="B1291" s="76">
        <v>56813</v>
      </c>
      <c r="C1291" s="81">
        <v>0</v>
      </c>
      <c r="D1291" s="82">
        <v>0</v>
      </c>
    </row>
    <row r="1292" spans="1:4">
      <c r="A1292" s="78" t="s">
        <v>1421</v>
      </c>
      <c r="B1292" s="76">
        <v>56815</v>
      </c>
      <c r="C1292" s="81">
        <v>0</v>
      </c>
      <c r="D1292" s="82">
        <v>0</v>
      </c>
    </row>
    <row r="1293" spans="1:4" ht="28.5">
      <c r="A1293" s="78" t="s">
        <v>1422</v>
      </c>
      <c r="B1293" s="76">
        <v>56854</v>
      </c>
      <c r="C1293" s="81">
        <v>0</v>
      </c>
      <c r="D1293" s="82">
        <v>0</v>
      </c>
    </row>
    <row r="1294" spans="1:4" ht="42.75">
      <c r="A1294" s="78" t="s">
        <v>1423</v>
      </c>
      <c r="B1294" s="76">
        <v>56862</v>
      </c>
      <c r="C1294" s="81">
        <v>0</v>
      </c>
      <c r="D1294" s="82">
        <v>0</v>
      </c>
    </row>
    <row r="1295" spans="1:4" ht="28.5">
      <c r="A1295" s="78" t="s">
        <v>1424</v>
      </c>
      <c r="B1295" s="76">
        <v>56874</v>
      </c>
      <c r="C1295" s="81">
        <v>0</v>
      </c>
      <c r="D1295" s="82">
        <v>0</v>
      </c>
    </row>
    <row r="1296" spans="1:4" ht="42.75">
      <c r="A1296" s="78" t="s">
        <v>1425</v>
      </c>
      <c r="B1296" s="76">
        <v>56893</v>
      </c>
      <c r="C1296" s="81">
        <v>0</v>
      </c>
      <c r="D1296" s="82">
        <v>0</v>
      </c>
    </row>
    <row r="1297" spans="1:4" ht="28.5">
      <c r="A1297" s="78" t="s">
        <v>1426</v>
      </c>
      <c r="B1297" s="76">
        <v>56909</v>
      </c>
      <c r="C1297" s="81">
        <v>0</v>
      </c>
      <c r="D1297" s="82">
        <v>0</v>
      </c>
    </row>
    <row r="1298" spans="1:4" ht="28.5">
      <c r="A1298" s="78" t="s">
        <v>1427</v>
      </c>
      <c r="B1298" s="76">
        <v>56917</v>
      </c>
      <c r="C1298" s="81">
        <v>0</v>
      </c>
      <c r="D1298" s="82">
        <v>0</v>
      </c>
    </row>
    <row r="1299" spans="1:4" ht="28.5">
      <c r="A1299" s="78" t="s">
        <v>1428</v>
      </c>
      <c r="B1299" s="76">
        <v>56922</v>
      </c>
      <c r="C1299" s="81">
        <v>0</v>
      </c>
      <c r="D1299" s="82">
        <v>0</v>
      </c>
    </row>
    <row r="1300" spans="1:4">
      <c r="A1300" s="78" t="s">
        <v>1429</v>
      </c>
      <c r="B1300" s="76">
        <v>56933</v>
      </c>
      <c r="C1300" s="81">
        <v>0</v>
      </c>
      <c r="D1300" s="82">
        <v>0</v>
      </c>
    </row>
    <row r="1301" spans="1:4">
      <c r="A1301" s="78" t="s">
        <v>1430</v>
      </c>
      <c r="B1301" s="76">
        <v>56934</v>
      </c>
      <c r="C1301" s="81">
        <v>0</v>
      </c>
      <c r="D1301" s="82">
        <v>0</v>
      </c>
    </row>
    <row r="1302" spans="1:4">
      <c r="A1302" s="78" t="s">
        <v>1431</v>
      </c>
      <c r="B1302" s="76">
        <v>56935</v>
      </c>
      <c r="C1302" s="81">
        <v>0</v>
      </c>
      <c r="D1302" s="82">
        <v>0</v>
      </c>
    </row>
    <row r="1303" spans="1:4">
      <c r="A1303" s="78" t="s">
        <v>1432</v>
      </c>
      <c r="B1303" s="76">
        <v>56939</v>
      </c>
      <c r="C1303" s="81">
        <v>0</v>
      </c>
      <c r="D1303" s="82">
        <v>0</v>
      </c>
    </row>
    <row r="1304" spans="1:4" ht="42.75">
      <c r="A1304" s="78" t="s">
        <v>1433</v>
      </c>
      <c r="B1304" s="76">
        <v>56960</v>
      </c>
      <c r="C1304" s="81">
        <v>0</v>
      </c>
      <c r="D1304" s="82">
        <v>0</v>
      </c>
    </row>
    <row r="1305" spans="1:4" ht="28.5">
      <c r="A1305" s="78" t="s">
        <v>1434</v>
      </c>
      <c r="B1305" s="76">
        <v>56967</v>
      </c>
      <c r="C1305" s="81">
        <v>0</v>
      </c>
      <c r="D1305" s="82">
        <v>0</v>
      </c>
    </row>
    <row r="1306" spans="1:4">
      <c r="A1306" s="78" t="s">
        <v>1435</v>
      </c>
      <c r="B1306" s="76">
        <v>56968</v>
      </c>
      <c r="C1306" s="81">
        <v>0</v>
      </c>
      <c r="D1306" s="82">
        <v>0</v>
      </c>
    </row>
    <row r="1307" spans="1:4" ht="28.5">
      <c r="A1307" s="78" t="s">
        <v>1436</v>
      </c>
      <c r="B1307" s="76">
        <v>56969</v>
      </c>
      <c r="C1307" s="81">
        <v>0</v>
      </c>
      <c r="D1307" s="82">
        <v>0</v>
      </c>
    </row>
    <row r="1308" spans="1:4" ht="28.5">
      <c r="A1308" s="78" t="s">
        <v>1437</v>
      </c>
      <c r="B1308" s="76">
        <v>56970</v>
      </c>
      <c r="C1308" s="81">
        <v>0</v>
      </c>
      <c r="D1308" s="82">
        <v>0</v>
      </c>
    </row>
    <row r="1309" spans="1:4" ht="28.5">
      <c r="A1309" s="78" t="s">
        <v>1438</v>
      </c>
      <c r="B1309" s="76">
        <v>56971</v>
      </c>
      <c r="C1309" s="81">
        <v>0</v>
      </c>
      <c r="D1309" s="82">
        <v>0</v>
      </c>
    </row>
    <row r="1310" spans="1:4" ht="28.5">
      <c r="A1310" s="78" t="s">
        <v>1439</v>
      </c>
      <c r="B1310" s="76">
        <v>56972</v>
      </c>
      <c r="C1310" s="81">
        <v>0</v>
      </c>
      <c r="D1310" s="82">
        <v>0</v>
      </c>
    </row>
    <row r="1311" spans="1:4" ht="28.5">
      <c r="A1311" s="78" t="s">
        <v>1440</v>
      </c>
      <c r="B1311" s="76">
        <v>56973</v>
      </c>
      <c r="C1311" s="81">
        <v>0</v>
      </c>
      <c r="D1311" s="82">
        <v>0</v>
      </c>
    </row>
    <row r="1312" spans="1:4">
      <c r="A1312" s="78" t="s">
        <v>1441</v>
      </c>
      <c r="B1312" s="76">
        <v>56974</v>
      </c>
      <c r="C1312" s="81">
        <v>0</v>
      </c>
      <c r="D1312" s="82">
        <v>0</v>
      </c>
    </row>
    <row r="1313" spans="1:4" ht="28.5">
      <c r="A1313" s="78" t="s">
        <v>1442</v>
      </c>
      <c r="B1313" s="76">
        <v>56975</v>
      </c>
      <c r="C1313" s="81">
        <v>0</v>
      </c>
      <c r="D1313" s="82">
        <v>0</v>
      </c>
    </row>
    <row r="1314" spans="1:4" ht="42.75">
      <c r="A1314" s="78" t="s">
        <v>1443</v>
      </c>
      <c r="B1314" s="76">
        <v>56997</v>
      </c>
      <c r="C1314" s="81">
        <v>0</v>
      </c>
      <c r="D1314" s="82">
        <v>0</v>
      </c>
    </row>
    <row r="1315" spans="1:4" ht="42.75">
      <c r="A1315" s="78" t="s">
        <v>1444</v>
      </c>
      <c r="B1315" s="76">
        <v>57004</v>
      </c>
      <c r="C1315" s="81">
        <v>0</v>
      </c>
      <c r="D1315" s="82">
        <v>0</v>
      </c>
    </row>
    <row r="1316" spans="1:4" ht="28.5">
      <c r="A1316" s="78" t="s">
        <v>1445</v>
      </c>
      <c r="B1316" s="76">
        <v>57005</v>
      </c>
      <c r="C1316" s="81">
        <v>0</v>
      </c>
      <c r="D1316" s="82">
        <v>0</v>
      </c>
    </row>
    <row r="1317" spans="1:4" ht="42.75">
      <c r="A1317" s="78" t="s">
        <v>1446</v>
      </c>
      <c r="B1317" s="76">
        <v>57006</v>
      </c>
      <c r="C1317" s="81">
        <v>0</v>
      </c>
      <c r="D1317" s="82">
        <v>0</v>
      </c>
    </row>
    <row r="1318" spans="1:4" ht="42.75">
      <c r="A1318" s="78" t="s">
        <v>1447</v>
      </c>
      <c r="B1318" s="76">
        <v>57007</v>
      </c>
      <c r="C1318" s="81">
        <v>0</v>
      </c>
      <c r="D1318" s="82">
        <v>0</v>
      </c>
    </row>
    <row r="1319" spans="1:4" ht="42.75">
      <c r="A1319" s="78" t="s">
        <v>1448</v>
      </c>
      <c r="B1319" s="76">
        <v>57008</v>
      </c>
      <c r="C1319" s="81">
        <v>0</v>
      </c>
      <c r="D1319" s="82">
        <v>0</v>
      </c>
    </row>
    <row r="1320" spans="1:4" ht="42.75">
      <c r="A1320" s="78" t="s">
        <v>1449</v>
      </c>
      <c r="B1320" s="76">
        <v>57009</v>
      </c>
      <c r="C1320" s="81">
        <v>0</v>
      </c>
      <c r="D1320" s="82">
        <v>0</v>
      </c>
    </row>
    <row r="1321" spans="1:4" ht="42.75">
      <c r="A1321" s="78" t="s">
        <v>1450</v>
      </c>
      <c r="B1321" s="76">
        <v>57010</v>
      </c>
      <c r="C1321" s="81">
        <v>0</v>
      </c>
      <c r="D1321" s="82">
        <v>0</v>
      </c>
    </row>
    <row r="1322" spans="1:4" ht="42.75">
      <c r="A1322" s="78" t="s">
        <v>1451</v>
      </c>
      <c r="B1322" s="76">
        <v>57011</v>
      </c>
      <c r="C1322" s="81">
        <v>0</v>
      </c>
      <c r="D1322" s="82">
        <v>0</v>
      </c>
    </row>
    <row r="1323" spans="1:4" ht="42.75">
      <c r="A1323" s="78" t="s">
        <v>1452</v>
      </c>
      <c r="B1323" s="76">
        <v>57012</v>
      </c>
      <c r="C1323" s="81">
        <v>0</v>
      </c>
      <c r="D1323" s="82">
        <v>0</v>
      </c>
    </row>
    <row r="1324" spans="1:4">
      <c r="A1324" s="78" t="s">
        <v>1453</v>
      </c>
      <c r="B1324" s="76">
        <v>57039</v>
      </c>
      <c r="C1324" s="81">
        <v>0</v>
      </c>
      <c r="D1324" s="82">
        <v>0</v>
      </c>
    </row>
    <row r="1325" spans="1:4" ht="28.5">
      <c r="A1325" s="78" t="s">
        <v>1454</v>
      </c>
      <c r="B1325" s="76">
        <v>57041</v>
      </c>
      <c r="C1325" s="81">
        <v>0</v>
      </c>
      <c r="D1325" s="82">
        <v>0</v>
      </c>
    </row>
    <row r="1326" spans="1:4" ht="28.5">
      <c r="A1326" s="78" t="s">
        <v>1455</v>
      </c>
      <c r="B1326" s="76">
        <v>57091</v>
      </c>
      <c r="C1326" s="81">
        <v>0</v>
      </c>
      <c r="D1326" s="82">
        <v>0</v>
      </c>
    </row>
    <row r="1327" spans="1:4" ht="28.5">
      <c r="A1327" s="78" t="s">
        <v>1456</v>
      </c>
      <c r="B1327" s="76">
        <v>57093</v>
      </c>
      <c r="C1327" s="81">
        <v>0</v>
      </c>
      <c r="D1327" s="82">
        <v>0</v>
      </c>
    </row>
    <row r="1328" spans="1:4" ht="28.5">
      <c r="A1328" s="78" t="s">
        <v>1457</v>
      </c>
      <c r="B1328" s="76">
        <v>57098</v>
      </c>
      <c r="C1328" s="81">
        <v>0</v>
      </c>
      <c r="D1328" s="82">
        <v>0</v>
      </c>
    </row>
    <row r="1329" spans="1:4">
      <c r="A1329" s="78" t="s">
        <v>1458</v>
      </c>
      <c r="B1329" s="76">
        <v>57124</v>
      </c>
      <c r="C1329" s="81">
        <v>0</v>
      </c>
      <c r="D1329" s="82">
        <v>0</v>
      </c>
    </row>
    <row r="1330" spans="1:4">
      <c r="A1330" s="78" t="s">
        <v>1459</v>
      </c>
      <c r="B1330" s="76">
        <v>57125</v>
      </c>
      <c r="C1330" s="81">
        <v>0</v>
      </c>
      <c r="D1330" s="82">
        <v>0</v>
      </c>
    </row>
    <row r="1331" spans="1:4">
      <c r="A1331" s="78" t="s">
        <v>1460</v>
      </c>
      <c r="B1331" s="76">
        <v>57126</v>
      </c>
      <c r="C1331" s="81">
        <v>0</v>
      </c>
      <c r="D1331" s="82">
        <v>0</v>
      </c>
    </row>
    <row r="1332" spans="1:4">
      <c r="A1332" s="78" t="s">
        <v>1461</v>
      </c>
      <c r="B1332" s="76">
        <v>57136</v>
      </c>
      <c r="C1332" s="81">
        <v>0</v>
      </c>
      <c r="D1332" s="82">
        <v>0</v>
      </c>
    </row>
    <row r="1333" spans="1:4" ht="28.5">
      <c r="A1333" s="78" t="s">
        <v>1462</v>
      </c>
      <c r="B1333" s="76">
        <v>57141</v>
      </c>
      <c r="C1333" s="81">
        <v>0</v>
      </c>
      <c r="D1333" s="82">
        <v>0</v>
      </c>
    </row>
    <row r="1334" spans="1:4" ht="28.5">
      <c r="A1334" s="78" t="s">
        <v>1463</v>
      </c>
      <c r="B1334" s="76">
        <v>57174</v>
      </c>
      <c r="C1334" s="81">
        <v>0</v>
      </c>
      <c r="D1334" s="82">
        <v>0</v>
      </c>
    </row>
    <row r="1335" spans="1:4" ht="28.5">
      <c r="A1335" s="78" t="s">
        <v>1464</v>
      </c>
      <c r="B1335" s="76">
        <v>57192</v>
      </c>
      <c r="C1335" s="81">
        <v>0</v>
      </c>
      <c r="D1335" s="82">
        <v>0</v>
      </c>
    </row>
    <row r="1336" spans="1:4" ht="42.75">
      <c r="A1336" s="78" t="s">
        <v>1465</v>
      </c>
      <c r="B1336" s="76">
        <v>57201</v>
      </c>
      <c r="C1336" s="81">
        <v>0</v>
      </c>
      <c r="D1336" s="82">
        <v>0</v>
      </c>
    </row>
    <row r="1337" spans="1:4">
      <c r="A1337" s="78" t="s">
        <v>1466</v>
      </c>
      <c r="B1337" s="76">
        <v>57210</v>
      </c>
      <c r="C1337" s="81">
        <v>0</v>
      </c>
      <c r="D1337" s="82">
        <v>0</v>
      </c>
    </row>
    <row r="1338" spans="1:4" ht="28.5">
      <c r="A1338" s="78" t="s">
        <v>1467</v>
      </c>
      <c r="B1338" s="76">
        <v>57222</v>
      </c>
      <c r="C1338" s="81">
        <v>0</v>
      </c>
      <c r="D1338" s="82">
        <v>0</v>
      </c>
    </row>
    <row r="1339" spans="1:4" ht="28.5">
      <c r="A1339" s="78" t="s">
        <v>1468</v>
      </c>
      <c r="B1339" s="76">
        <v>57223</v>
      </c>
      <c r="C1339" s="81">
        <v>0</v>
      </c>
      <c r="D1339" s="82">
        <v>0</v>
      </c>
    </row>
    <row r="1340" spans="1:4" ht="28.5">
      <c r="A1340" s="78" t="s">
        <v>1469</v>
      </c>
      <c r="B1340" s="76">
        <v>57224</v>
      </c>
      <c r="C1340" s="81">
        <v>0</v>
      </c>
      <c r="D1340" s="82">
        <v>0</v>
      </c>
    </row>
    <row r="1341" spans="1:4" ht="28.5">
      <c r="A1341" s="78" t="s">
        <v>1470</v>
      </c>
      <c r="B1341" s="76">
        <v>57231</v>
      </c>
      <c r="C1341" s="81">
        <v>0</v>
      </c>
      <c r="D1341" s="82">
        <v>0</v>
      </c>
    </row>
    <row r="1342" spans="1:4" ht="28.5">
      <c r="A1342" s="78" t="s">
        <v>1471</v>
      </c>
      <c r="B1342" s="76">
        <v>57232</v>
      </c>
      <c r="C1342" s="81">
        <v>0</v>
      </c>
      <c r="D1342" s="82">
        <v>0</v>
      </c>
    </row>
    <row r="1343" spans="1:4" ht="28.5">
      <c r="A1343" s="78" t="s">
        <v>1472</v>
      </c>
      <c r="B1343" s="76">
        <v>57236</v>
      </c>
      <c r="C1343" s="81">
        <v>0</v>
      </c>
      <c r="D1343" s="82">
        <v>0</v>
      </c>
    </row>
    <row r="1344" spans="1:4" ht="28.5">
      <c r="A1344" s="78" t="s">
        <v>1473</v>
      </c>
      <c r="B1344" s="76">
        <v>57243</v>
      </c>
      <c r="C1344" s="81">
        <v>0</v>
      </c>
      <c r="D1344" s="82">
        <v>0</v>
      </c>
    </row>
    <row r="1345" spans="1:4" ht="28.5">
      <c r="A1345" s="78" t="s">
        <v>1474</v>
      </c>
      <c r="B1345" s="76">
        <v>57244</v>
      </c>
      <c r="C1345" s="81">
        <v>0</v>
      </c>
      <c r="D1345" s="82">
        <v>0</v>
      </c>
    </row>
    <row r="1346" spans="1:4" ht="28.5">
      <c r="A1346" s="78" t="s">
        <v>1475</v>
      </c>
      <c r="B1346" s="76">
        <v>57246</v>
      </c>
      <c r="C1346" s="81">
        <v>0</v>
      </c>
      <c r="D1346" s="82">
        <v>0</v>
      </c>
    </row>
    <row r="1347" spans="1:4" ht="28.5">
      <c r="A1347" s="78" t="s">
        <v>1476</v>
      </c>
      <c r="B1347" s="76">
        <v>57247</v>
      </c>
      <c r="C1347" s="81">
        <v>0</v>
      </c>
      <c r="D1347" s="82">
        <v>0</v>
      </c>
    </row>
    <row r="1348" spans="1:4" ht="28.5">
      <c r="A1348" s="78" t="s">
        <v>1477</v>
      </c>
      <c r="B1348" s="76">
        <v>57275</v>
      </c>
      <c r="C1348" s="81">
        <v>0</v>
      </c>
      <c r="D1348" s="82">
        <v>0</v>
      </c>
    </row>
    <row r="1349" spans="1:4" ht="28.5">
      <c r="A1349" s="78" t="s">
        <v>1478</v>
      </c>
      <c r="B1349" s="76">
        <v>57282</v>
      </c>
      <c r="C1349" s="81">
        <v>0</v>
      </c>
      <c r="D1349" s="82">
        <v>0</v>
      </c>
    </row>
    <row r="1350" spans="1:4" ht="28.5">
      <c r="A1350" s="78" t="s">
        <v>1479</v>
      </c>
      <c r="B1350" s="76">
        <v>57290</v>
      </c>
      <c r="C1350" s="81">
        <v>0</v>
      </c>
      <c r="D1350" s="82">
        <v>0</v>
      </c>
    </row>
    <row r="1351" spans="1:4" ht="28.5">
      <c r="A1351" s="78" t="s">
        <v>1480</v>
      </c>
      <c r="B1351" s="76">
        <v>57291</v>
      </c>
      <c r="C1351" s="81">
        <v>0</v>
      </c>
      <c r="D1351" s="82">
        <v>0</v>
      </c>
    </row>
    <row r="1352" spans="1:4" ht="28.5">
      <c r="A1352" s="78" t="s">
        <v>1481</v>
      </c>
      <c r="B1352" s="76">
        <v>57292</v>
      </c>
      <c r="C1352" s="81">
        <v>0</v>
      </c>
      <c r="D1352" s="82">
        <v>0</v>
      </c>
    </row>
    <row r="1353" spans="1:4" ht="28.5">
      <c r="A1353" s="78" t="s">
        <v>1482</v>
      </c>
      <c r="B1353" s="76">
        <v>57293</v>
      </c>
      <c r="C1353" s="81">
        <v>0</v>
      </c>
      <c r="D1353" s="82">
        <v>0</v>
      </c>
    </row>
    <row r="1354" spans="1:4" ht="28.5">
      <c r="A1354" s="78" t="s">
        <v>1483</v>
      </c>
      <c r="B1354" s="76">
        <v>57294</v>
      </c>
      <c r="C1354" s="81">
        <v>0</v>
      </c>
      <c r="D1354" s="82">
        <v>0</v>
      </c>
    </row>
    <row r="1355" spans="1:4">
      <c r="A1355" s="78" t="s">
        <v>1484</v>
      </c>
      <c r="B1355" s="76">
        <v>57295</v>
      </c>
      <c r="C1355" s="81">
        <v>0</v>
      </c>
      <c r="D1355" s="82">
        <v>0</v>
      </c>
    </row>
    <row r="1356" spans="1:4" ht="28.5">
      <c r="A1356" s="78" t="s">
        <v>1485</v>
      </c>
      <c r="B1356" s="76">
        <v>57302</v>
      </c>
      <c r="C1356" s="81">
        <v>0</v>
      </c>
      <c r="D1356" s="82">
        <v>0</v>
      </c>
    </row>
    <row r="1357" spans="1:4" ht="28.5">
      <c r="A1357" s="78" t="s">
        <v>1486</v>
      </c>
      <c r="B1357" s="76">
        <v>57305</v>
      </c>
      <c r="C1357" s="81">
        <v>0</v>
      </c>
      <c r="D1357" s="82">
        <v>0</v>
      </c>
    </row>
    <row r="1358" spans="1:4" ht="28.5">
      <c r="A1358" s="78" t="s">
        <v>1487</v>
      </c>
      <c r="B1358" s="76">
        <v>57306</v>
      </c>
      <c r="C1358" s="81">
        <v>0</v>
      </c>
      <c r="D1358" s="82">
        <v>0</v>
      </c>
    </row>
    <row r="1359" spans="1:4" ht="28.5">
      <c r="A1359" s="78" t="s">
        <v>1488</v>
      </c>
      <c r="B1359" s="76">
        <v>57308</v>
      </c>
      <c r="C1359" s="81">
        <v>0</v>
      </c>
      <c r="D1359" s="82">
        <v>0</v>
      </c>
    </row>
    <row r="1360" spans="1:4" ht="42.75">
      <c r="A1360" s="78" t="s">
        <v>1489</v>
      </c>
      <c r="B1360" s="76">
        <v>57309</v>
      </c>
      <c r="C1360" s="81">
        <v>0</v>
      </c>
      <c r="D1360" s="82">
        <v>0</v>
      </c>
    </row>
    <row r="1361" spans="1:4" ht="42.75">
      <c r="A1361" s="78" t="s">
        <v>1490</v>
      </c>
      <c r="B1361" s="76">
        <v>57311</v>
      </c>
      <c r="C1361" s="81">
        <v>0</v>
      </c>
      <c r="D1361" s="82">
        <v>0</v>
      </c>
    </row>
    <row r="1362" spans="1:4" ht="42.75">
      <c r="A1362" s="78" t="s">
        <v>1491</v>
      </c>
      <c r="B1362" s="76">
        <v>57313</v>
      </c>
      <c r="C1362" s="81">
        <v>0</v>
      </c>
      <c r="D1362" s="82">
        <v>0</v>
      </c>
    </row>
    <row r="1363" spans="1:4" ht="28.5">
      <c r="A1363" s="78" t="s">
        <v>1492</v>
      </c>
      <c r="B1363" s="76">
        <v>57314</v>
      </c>
      <c r="C1363" s="81">
        <v>0</v>
      </c>
      <c r="D1363" s="82">
        <v>0</v>
      </c>
    </row>
    <row r="1364" spans="1:4">
      <c r="A1364" s="78" t="s">
        <v>1493</v>
      </c>
      <c r="B1364" s="76">
        <v>57315</v>
      </c>
      <c r="C1364" s="81">
        <v>0</v>
      </c>
      <c r="D1364" s="82">
        <v>0</v>
      </c>
    </row>
    <row r="1365" spans="1:4" ht="28.5">
      <c r="A1365" s="78" t="s">
        <v>1494</v>
      </c>
      <c r="B1365" s="76">
        <v>57317</v>
      </c>
      <c r="C1365" s="81">
        <v>0</v>
      </c>
      <c r="D1365" s="82">
        <v>0</v>
      </c>
    </row>
    <row r="1366" spans="1:4" ht="28.5">
      <c r="A1366" s="78" t="s">
        <v>1495</v>
      </c>
      <c r="B1366" s="76">
        <v>57318</v>
      </c>
      <c r="C1366" s="81">
        <v>0</v>
      </c>
      <c r="D1366" s="82">
        <v>0</v>
      </c>
    </row>
    <row r="1367" spans="1:4" ht="28.5">
      <c r="A1367" s="78" t="s">
        <v>1496</v>
      </c>
      <c r="B1367" s="76">
        <v>57331</v>
      </c>
      <c r="C1367" s="81">
        <v>0</v>
      </c>
      <c r="D1367" s="82">
        <v>0</v>
      </c>
    </row>
    <row r="1368" spans="1:4">
      <c r="A1368" s="78" t="s">
        <v>1497</v>
      </c>
      <c r="B1368" s="76">
        <v>57338</v>
      </c>
      <c r="C1368" s="81">
        <v>0</v>
      </c>
      <c r="D1368" s="82">
        <v>0</v>
      </c>
    </row>
    <row r="1369" spans="1:4" ht="28.5">
      <c r="A1369" s="78" t="s">
        <v>1498</v>
      </c>
      <c r="B1369" s="76">
        <v>57340</v>
      </c>
      <c r="C1369" s="81">
        <v>0</v>
      </c>
      <c r="D1369" s="82">
        <v>0</v>
      </c>
    </row>
    <row r="1370" spans="1:4">
      <c r="A1370" s="78" t="s">
        <v>1499</v>
      </c>
      <c r="B1370" s="76">
        <v>57359</v>
      </c>
      <c r="C1370" s="81">
        <v>0</v>
      </c>
      <c r="D1370" s="82">
        <v>0</v>
      </c>
    </row>
    <row r="1371" spans="1:4" ht="28.5">
      <c r="A1371" s="78" t="s">
        <v>1500</v>
      </c>
      <c r="B1371" s="76">
        <v>57360</v>
      </c>
      <c r="C1371" s="81">
        <v>0</v>
      </c>
      <c r="D1371" s="82">
        <v>0</v>
      </c>
    </row>
    <row r="1372" spans="1:4">
      <c r="A1372" s="78" t="s">
        <v>1501</v>
      </c>
      <c r="B1372" s="76">
        <v>57361</v>
      </c>
      <c r="C1372" s="81">
        <v>0</v>
      </c>
      <c r="D1372" s="82">
        <v>0</v>
      </c>
    </row>
    <row r="1373" spans="1:4" ht="28.5">
      <c r="A1373" s="78" t="s">
        <v>1502</v>
      </c>
      <c r="B1373" s="76">
        <v>57364</v>
      </c>
      <c r="C1373" s="81">
        <v>0</v>
      </c>
      <c r="D1373" s="82">
        <v>0</v>
      </c>
    </row>
    <row r="1374" spans="1:4" ht="28.5">
      <c r="A1374" s="78" t="s">
        <v>1503</v>
      </c>
      <c r="B1374" s="76">
        <v>57369</v>
      </c>
      <c r="C1374" s="81">
        <v>0</v>
      </c>
      <c r="D1374" s="82">
        <v>0</v>
      </c>
    </row>
    <row r="1375" spans="1:4" ht="28.5">
      <c r="A1375" s="78" t="s">
        <v>1504</v>
      </c>
      <c r="B1375" s="76">
        <v>57378</v>
      </c>
      <c r="C1375" s="81">
        <v>0</v>
      </c>
      <c r="D1375" s="82">
        <v>0</v>
      </c>
    </row>
    <row r="1376" spans="1:4" ht="28.5">
      <c r="A1376" s="78" t="s">
        <v>1505</v>
      </c>
      <c r="B1376" s="76">
        <v>57379</v>
      </c>
      <c r="C1376" s="81">
        <v>0</v>
      </c>
      <c r="D1376" s="82">
        <v>0</v>
      </c>
    </row>
    <row r="1377" spans="1:4">
      <c r="A1377" s="78" t="s">
        <v>1506</v>
      </c>
      <c r="B1377" s="76">
        <v>57392</v>
      </c>
      <c r="C1377" s="81">
        <v>0</v>
      </c>
      <c r="D1377" s="82">
        <v>0</v>
      </c>
    </row>
    <row r="1378" spans="1:4" ht="28.5">
      <c r="A1378" s="78" t="s">
        <v>1507</v>
      </c>
      <c r="B1378" s="76">
        <v>57394</v>
      </c>
      <c r="C1378" s="81">
        <v>0</v>
      </c>
      <c r="D1378" s="82">
        <v>0</v>
      </c>
    </row>
    <row r="1379" spans="1:4" ht="28.5">
      <c r="A1379" s="78" t="s">
        <v>1508</v>
      </c>
      <c r="B1379" s="76">
        <v>57422</v>
      </c>
      <c r="C1379" s="81">
        <v>0</v>
      </c>
      <c r="D1379" s="82">
        <v>0</v>
      </c>
    </row>
    <row r="1380" spans="1:4" ht="28.5">
      <c r="A1380" s="78" t="s">
        <v>1509</v>
      </c>
      <c r="B1380" s="76">
        <v>57424</v>
      </c>
      <c r="C1380" s="81">
        <v>0</v>
      </c>
      <c r="D1380" s="82">
        <v>0</v>
      </c>
    </row>
    <row r="1381" spans="1:4" ht="28.5">
      <c r="A1381" s="78" t="s">
        <v>1510</v>
      </c>
      <c r="B1381" s="76">
        <v>57427</v>
      </c>
      <c r="C1381" s="81">
        <v>0</v>
      </c>
      <c r="D1381" s="82">
        <v>0</v>
      </c>
    </row>
    <row r="1382" spans="1:4" ht="28.5">
      <c r="A1382" s="78" t="s">
        <v>1511</v>
      </c>
      <c r="B1382" s="76">
        <v>57428</v>
      </c>
      <c r="C1382" s="81">
        <v>0</v>
      </c>
      <c r="D1382" s="82">
        <v>0</v>
      </c>
    </row>
    <row r="1383" spans="1:4">
      <c r="A1383" s="78" t="s">
        <v>1512</v>
      </c>
      <c r="B1383" s="76">
        <v>57429</v>
      </c>
      <c r="C1383" s="81">
        <v>0</v>
      </c>
      <c r="D1383" s="82">
        <v>0</v>
      </c>
    </row>
    <row r="1384" spans="1:4" ht="28.5">
      <c r="A1384" s="78" t="s">
        <v>1513</v>
      </c>
      <c r="B1384" s="76">
        <v>57430</v>
      </c>
      <c r="C1384" s="81">
        <v>0</v>
      </c>
      <c r="D1384" s="82">
        <v>0</v>
      </c>
    </row>
    <row r="1385" spans="1:4" ht="28.5">
      <c r="A1385" s="78" t="s">
        <v>1514</v>
      </c>
      <c r="B1385" s="76">
        <v>57431</v>
      </c>
      <c r="C1385" s="81">
        <v>0</v>
      </c>
      <c r="D1385" s="82">
        <v>0</v>
      </c>
    </row>
    <row r="1386" spans="1:4" ht="28.5">
      <c r="A1386" s="78" t="s">
        <v>1515</v>
      </c>
      <c r="B1386" s="76">
        <v>57439</v>
      </c>
      <c r="C1386" s="81">
        <v>0</v>
      </c>
      <c r="D1386" s="82">
        <v>0</v>
      </c>
    </row>
    <row r="1387" spans="1:4" ht="28.5">
      <c r="A1387" s="78" t="s">
        <v>1516</v>
      </c>
      <c r="B1387" s="76">
        <v>57441</v>
      </c>
      <c r="C1387" s="81">
        <v>0</v>
      </c>
      <c r="D1387" s="82">
        <v>0</v>
      </c>
    </row>
    <row r="1388" spans="1:4" ht="28.5">
      <c r="A1388" s="78" t="s">
        <v>1517</v>
      </c>
      <c r="B1388" s="76">
        <v>57442</v>
      </c>
      <c r="C1388" s="81">
        <v>0</v>
      </c>
      <c r="D1388" s="82">
        <v>0</v>
      </c>
    </row>
    <row r="1389" spans="1:4" ht="28.5">
      <c r="A1389" s="78" t="s">
        <v>1518</v>
      </c>
      <c r="B1389" s="76">
        <v>57444</v>
      </c>
      <c r="C1389" s="81">
        <v>0</v>
      </c>
      <c r="D1389" s="82">
        <v>0</v>
      </c>
    </row>
    <row r="1390" spans="1:4">
      <c r="A1390" s="78" t="s">
        <v>1519</v>
      </c>
      <c r="B1390" s="76">
        <v>57455</v>
      </c>
      <c r="C1390" s="81">
        <v>0</v>
      </c>
      <c r="D1390" s="82">
        <v>0</v>
      </c>
    </row>
    <row r="1391" spans="1:4">
      <c r="A1391" s="78" t="s">
        <v>1520</v>
      </c>
      <c r="B1391" s="76">
        <v>57459</v>
      </c>
      <c r="C1391" s="81">
        <v>0</v>
      </c>
      <c r="D1391" s="82">
        <v>0</v>
      </c>
    </row>
    <row r="1392" spans="1:4" ht="28.5">
      <c r="A1392" s="78" t="s">
        <v>1521</v>
      </c>
      <c r="B1392" s="76">
        <v>57484</v>
      </c>
      <c r="C1392" s="81">
        <v>0</v>
      </c>
      <c r="D1392" s="82">
        <v>0</v>
      </c>
    </row>
    <row r="1393" spans="1:4" ht="42.75">
      <c r="A1393" s="78" t="s">
        <v>1522</v>
      </c>
      <c r="B1393" s="76">
        <v>57490</v>
      </c>
      <c r="C1393" s="81">
        <v>0</v>
      </c>
      <c r="D1393" s="82">
        <v>0</v>
      </c>
    </row>
    <row r="1394" spans="1:4" ht="42.75">
      <c r="A1394" s="78" t="s">
        <v>1523</v>
      </c>
      <c r="B1394" s="76">
        <v>57491</v>
      </c>
      <c r="C1394" s="81">
        <v>0</v>
      </c>
      <c r="D1394" s="82">
        <v>0</v>
      </c>
    </row>
    <row r="1395" spans="1:4" ht="28.5">
      <c r="A1395" s="78" t="s">
        <v>1524</v>
      </c>
      <c r="B1395" s="76">
        <v>57497</v>
      </c>
      <c r="C1395" s="81">
        <v>0</v>
      </c>
      <c r="D1395" s="82">
        <v>0</v>
      </c>
    </row>
    <row r="1396" spans="1:4" ht="28.5">
      <c r="A1396" s="78" t="s">
        <v>1525</v>
      </c>
      <c r="B1396" s="76">
        <v>57498</v>
      </c>
      <c r="C1396" s="81">
        <v>0</v>
      </c>
      <c r="D1396" s="82">
        <v>0</v>
      </c>
    </row>
    <row r="1397" spans="1:4" ht="28.5">
      <c r="A1397" s="78" t="s">
        <v>1526</v>
      </c>
      <c r="B1397" s="76">
        <v>57499</v>
      </c>
      <c r="C1397" s="81">
        <v>0</v>
      </c>
      <c r="D1397" s="82">
        <v>0</v>
      </c>
    </row>
    <row r="1398" spans="1:4" ht="28.5">
      <c r="A1398" s="78" t="s">
        <v>1527</v>
      </c>
      <c r="B1398" s="76">
        <v>57506</v>
      </c>
      <c r="C1398" s="81">
        <v>0</v>
      </c>
      <c r="D1398" s="82">
        <v>0</v>
      </c>
    </row>
    <row r="1399" spans="1:4" ht="28.5">
      <c r="A1399" s="78" t="s">
        <v>1528</v>
      </c>
      <c r="B1399" s="76">
        <v>57507</v>
      </c>
      <c r="C1399" s="81">
        <v>0</v>
      </c>
      <c r="D1399" s="82">
        <v>0</v>
      </c>
    </row>
    <row r="1400" spans="1:4">
      <c r="A1400" s="78" t="s">
        <v>1529</v>
      </c>
      <c r="B1400" s="76">
        <v>57509</v>
      </c>
      <c r="C1400" s="81">
        <v>0</v>
      </c>
      <c r="D1400" s="82">
        <v>0</v>
      </c>
    </row>
    <row r="1401" spans="1:4" ht="28.5">
      <c r="A1401" s="78" t="s">
        <v>1530</v>
      </c>
      <c r="B1401" s="76">
        <v>57514</v>
      </c>
      <c r="C1401" s="81">
        <v>0</v>
      </c>
      <c r="D1401" s="82">
        <v>0</v>
      </c>
    </row>
    <row r="1402" spans="1:4">
      <c r="A1402" s="78" t="s">
        <v>1531</v>
      </c>
      <c r="B1402" s="76">
        <v>57521</v>
      </c>
      <c r="C1402" s="81">
        <v>0</v>
      </c>
      <c r="D1402" s="82">
        <v>0</v>
      </c>
    </row>
    <row r="1403" spans="1:4" ht="28.5">
      <c r="A1403" s="78" t="s">
        <v>1532</v>
      </c>
      <c r="B1403" s="76">
        <v>57522</v>
      </c>
      <c r="C1403" s="81">
        <v>0</v>
      </c>
      <c r="D1403" s="82">
        <v>0</v>
      </c>
    </row>
    <row r="1404" spans="1:4" ht="28.5">
      <c r="A1404" s="78" t="s">
        <v>1533</v>
      </c>
      <c r="B1404" s="76">
        <v>57523</v>
      </c>
      <c r="C1404" s="81">
        <v>0</v>
      </c>
      <c r="D1404" s="82">
        <v>0</v>
      </c>
    </row>
    <row r="1405" spans="1:4" ht="28.5">
      <c r="A1405" s="78" t="s">
        <v>1534</v>
      </c>
      <c r="B1405" s="76">
        <v>57524</v>
      </c>
      <c r="C1405" s="81">
        <v>0</v>
      </c>
      <c r="D1405" s="82">
        <v>0</v>
      </c>
    </row>
    <row r="1406" spans="1:4" ht="28.5">
      <c r="A1406" s="78" t="s">
        <v>1535</v>
      </c>
      <c r="B1406" s="76">
        <v>57551</v>
      </c>
      <c r="C1406" s="81">
        <v>0</v>
      </c>
      <c r="D1406" s="82">
        <v>0</v>
      </c>
    </row>
    <row r="1407" spans="1:4">
      <c r="A1407" s="78" t="s">
        <v>1536</v>
      </c>
      <c r="B1407" s="76">
        <v>57554</v>
      </c>
      <c r="C1407" s="81">
        <v>0</v>
      </c>
      <c r="D1407" s="82">
        <v>0</v>
      </c>
    </row>
    <row r="1408" spans="1:4">
      <c r="A1408" s="78" t="s">
        <v>1537</v>
      </c>
      <c r="B1408" s="76">
        <v>57556</v>
      </c>
      <c r="C1408" s="81">
        <v>0</v>
      </c>
      <c r="D1408" s="82">
        <v>0</v>
      </c>
    </row>
    <row r="1409" spans="1:4" ht="28.5">
      <c r="A1409" s="78" t="s">
        <v>1538</v>
      </c>
      <c r="B1409" s="76">
        <v>57559</v>
      </c>
      <c r="C1409" s="81">
        <v>0</v>
      </c>
      <c r="D1409" s="82">
        <v>0</v>
      </c>
    </row>
    <row r="1410" spans="1:4" ht="28.5">
      <c r="A1410" s="78" t="s">
        <v>1539</v>
      </c>
      <c r="B1410" s="76">
        <v>57567</v>
      </c>
      <c r="C1410" s="81">
        <v>0</v>
      </c>
      <c r="D1410" s="82">
        <v>0</v>
      </c>
    </row>
    <row r="1411" spans="1:4" ht="28.5">
      <c r="A1411" s="78" t="s">
        <v>1540</v>
      </c>
      <c r="B1411" s="76">
        <v>57571</v>
      </c>
      <c r="C1411" s="81">
        <v>0</v>
      </c>
      <c r="D1411" s="82">
        <v>0</v>
      </c>
    </row>
    <row r="1412" spans="1:4" ht="28.5">
      <c r="A1412" s="78" t="s">
        <v>1541</v>
      </c>
      <c r="B1412" s="76">
        <v>57575</v>
      </c>
      <c r="C1412" s="81">
        <v>0</v>
      </c>
      <c r="D1412" s="82">
        <v>0</v>
      </c>
    </row>
    <row r="1413" spans="1:4" ht="28.5">
      <c r="A1413" s="78" t="s">
        <v>1542</v>
      </c>
      <c r="B1413" s="76">
        <v>57576</v>
      </c>
      <c r="C1413" s="81">
        <v>0</v>
      </c>
      <c r="D1413" s="82">
        <v>0</v>
      </c>
    </row>
    <row r="1414" spans="1:4" ht="28.5">
      <c r="A1414" s="78" t="s">
        <v>1543</v>
      </c>
      <c r="B1414" s="76">
        <v>57577</v>
      </c>
      <c r="C1414" s="81">
        <v>0</v>
      </c>
      <c r="D1414" s="82">
        <v>0</v>
      </c>
    </row>
    <row r="1415" spans="1:4" ht="28.5">
      <c r="A1415" s="78" t="s">
        <v>1544</v>
      </c>
      <c r="B1415" s="76">
        <v>57578</v>
      </c>
      <c r="C1415" s="81">
        <v>0</v>
      </c>
      <c r="D1415" s="82">
        <v>0</v>
      </c>
    </row>
    <row r="1416" spans="1:4" ht="28.5">
      <c r="A1416" s="78" t="s">
        <v>1545</v>
      </c>
      <c r="B1416" s="76">
        <v>57579</v>
      </c>
      <c r="C1416" s="81">
        <v>0</v>
      </c>
      <c r="D1416" s="82">
        <v>0</v>
      </c>
    </row>
    <row r="1417" spans="1:4">
      <c r="A1417" s="78" t="s">
        <v>1546</v>
      </c>
      <c r="B1417" s="76">
        <v>57580</v>
      </c>
      <c r="C1417" s="81">
        <v>0</v>
      </c>
      <c r="D1417" s="82">
        <v>0</v>
      </c>
    </row>
    <row r="1418" spans="1:4" ht="28.5">
      <c r="A1418" s="78" t="s">
        <v>1547</v>
      </c>
      <c r="B1418" s="76">
        <v>57586</v>
      </c>
      <c r="C1418" s="81">
        <v>0</v>
      </c>
      <c r="D1418" s="82">
        <v>0</v>
      </c>
    </row>
    <row r="1419" spans="1:4" ht="42.75">
      <c r="A1419" s="78" t="s">
        <v>1548</v>
      </c>
      <c r="B1419" s="76">
        <v>57591</v>
      </c>
      <c r="C1419" s="81">
        <v>0</v>
      </c>
      <c r="D1419" s="82">
        <v>0</v>
      </c>
    </row>
    <row r="1420" spans="1:4" ht="28.5">
      <c r="A1420" s="78" t="s">
        <v>1549</v>
      </c>
      <c r="B1420" s="76">
        <v>57594</v>
      </c>
      <c r="C1420" s="81">
        <v>0</v>
      </c>
      <c r="D1420" s="82">
        <v>0</v>
      </c>
    </row>
    <row r="1421" spans="1:4" ht="28.5">
      <c r="A1421" s="78" t="s">
        <v>1550</v>
      </c>
      <c r="B1421" s="76">
        <v>57621</v>
      </c>
      <c r="C1421" s="81">
        <v>0</v>
      </c>
      <c r="D1421" s="82">
        <v>0</v>
      </c>
    </row>
    <row r="1422" spans="1:4">
      <c r="A1422" s="78" t="s">
        <v>1551</v>
      </c>
      <c r="B1422" s="76">
        <v>57626</v>
      </c>
      <c r="C1422" s="81">
        <v>0</v>
      </c>
      <c r="D1422" s="82">
        <v>0</v>
      </c>
    </row>
    <row r="1423" spans="1:4" ht="28.5">
      <c r="A1423" s="78" t="s">
        <v>1552</v>
      </c>
      <c r="B1423" s="76">
        <v>57643</v>
      </c>
      <c r="C1423" s="81">
        <v>0</v>
      </c>
      <c r="D1423" s="82">
        <v>0</v>
      </c>
    </row>
    <row r="1424" spans="1:4" ht="42.75">
      <c r="A1424" s="78" t="s">
        <v>1553</v>
      </c>
      <c r="B1424" s="76">
        <v>57645</v>
      </c>
      <c r="C1424" s="81">
        <v>0</v>
      </c>
      <c r="D1424" s="82">
        <v>0</v>
      </c>
    </row>
    <row r="1425" spans="1:4" ht="28.5">
      <c r="A1425" s="78" t="s">
        <v>1554</v>
      </c>
      <c r="B1425" s="76">
        <v>57650</v>
      </c>
      <c r="C1425" s="81">
        <v>0</v>
      </c>
      <c r="D1425" s="82">
        <v>0</v>
      </c>
    </row>
    <row r="1426" spans="1:4">
      <c r="A1426" s="78" t="s">
        <v>1555</v>
      </c>
      <c r="B1426" s="76">
        <v>57651</v>
      </c>
      <c r="C1426" s="81">
        <v>0</v>
      </c>
      <c r="D1426" s="82">
        <v>0</v>
      </c>
    </row>
    <row r="1427" spans="1:4">
      <c r="A1427" s="78" t="s">
        <v>1556</v>
      </c>
      <c r="B1427" s="76">
        <v>57652</v>
      </c>
      <c r="C1427" s="81">
        <v>0</v>
      </c>
      <c r="D1427" s="82">
        <v>0</v>
      </c>
    </row>
    <row r="1428" spans="1:4" ht="28.5">
      <c r="A1428" s="78" t="s">
        <v>1557</v>
      </c>
      <c r="B1428" s="76">
        <v>57655</v>
      </c>
      <c r="C1428" s="81">
        <v>0</v>
      </c>
      <c r="D1428" s="82">
        <v>0</v>
      </c>
    </row>
    <row r="1429" spans="1:4" ht="28.5">
      <c r="A1429" s="78" t="s">
        <v>1558</v>
      </c>
      <c r="B1429" s="76">
        <v>57656</v>
      </c>
      <c r="C1429" s="81">
        <v>0</v>
      </c>
      <c r="D1429" s="82">
        <v>0</v>
      </c>
    </row>
    <row r="1430" spans="1:4">
      <c r="A1430" s="78" t="s">
        <v>1559</v>
      </c>
      <c r="B1430" s="76">
        <v>57657</v>
      </c>
      <c r="C1430" s="81">
        <v>0</v>
      </c>
      <c r="D1430" s="82">
        <v>0</v>
      </c>
    </row>
    <row r="1431" spans="1:4" ht="28.5">
      <c r="A1431" s="78" t="s">
        <v>1560</v>
      </c>
      <c r="B1431" s="76">
        <v>57669</v>
      </c>
      <c r="C1431" s="81">
        <v>0</v>
      </c>
      <c r="D1431" s="82">
        <v>0</v>
      </c>
    </row>
    <row r="1432" spans="1:4" ht="28.5">
      <c r="A1432" s="78" t="s">
        <v>1561</v>
      </c>
      <c r="B1432" s="76">
        <v>57670</v>
      </c>
      <c r="C1432" s="81">
        <v>0</v>
      </c>
      <c r="D1432" s="82">
        <v>0</v>
      </c>
    </row>
    <row r="1433" spans="1:4" ht="28.5">
      <c r="A1433" s="78" t="s">
        <v>1562</v>
      </c>
      <c r="B1433" s="76">
        <v>57671</v>
      </c>
      <c r="C1433" s="81">
        <v>0</v>
      </c>
      <c r="D1433" s="82">
        <v>0</v>
      </c>
    </row>
    <row r="1434" spans="1:4">
      <c r="A1434" s="78" t="s">
        <v>1563</v>
      </c>
      <c r="B1434" s="76">
        <v>57673</v>
      </c>
      <c r="C1434" s="81">
        <v>0</v>
      </c>
      <c r="D1434" s="82">
        <v>0</v>
      </c>
    </row>
    <row r="1435" spans="1:4" ht="28.5">
      <c r="A1435" s="78" t="s">
        <v>1564</v>
      </c>
      <c r="B1435" s="76">
        <v>57681</v>
      </c>
      <c r="C1435" s="81">
        <v>0</v>
      </c>
      <c r="D1435" s="82">
        <v>0</v>
      </c>
    </row>
    <row r="1436" spans="1:4" ht="28.5">
      <c r="A1436" s="78" t="s">
        <v>1565</v>
      </c>
      <c r="B1436" s="76">
        <v>57682</v>
      </c>
      <c r="C1436" s="81">
        <v>0</v>
      </c>
      <c r="D1436" s="82">
        <v>0</v>
      </c>
    </row>
    <row r="1437" spans="1:4" ht="28.5">
      <c r="A1437" s="78" t="s">
        <v>1566</v>
      </c>
      <c r="B1437" s="76">
        <v>57683</v>
      </c>
      <c r="C1437" s="81">
        <v>0</v>
      </c>
      <c r="D1437" s="82">
        <v>0</v>
      </c>
    </row>
    <row r="1438" spans="1:4">
      <c r="A1438" s="78" t="s">
        <v>1567</v>
      </c>
      <c r="B1438" s="76">
        <v>57690</v>
      </c>
      <c r="C1438" s="81">
        <v>0</v>
      </c>
      <c r="D1438" s="82">
        <v>0</v>
      </c>
    </row>
    <row r="1439" spans="1:4">
      <c r="A1439" s="78" t="s">
        <v>1568</v>
      </c>
      <c r="B1439" s="76">
        <v>57695</v>
      </c>
      <c r="C1439" s="81">
        <v>0</v>
      </c>
      <c r="D1439" s="82">
        <v>0</v>
      </c>
    </row>
    <row r="1440" spans="1:4">
      <c r="A1440" s="78" t="s">
        <v>1569</v>
      </c>
      <c r="B1440" s="76">
        <v>57697</v>
      </c>
      <c r="C1440" s="81">
        <v>0</v>
      </c>
      <c r="D1440" s="82">
        <v>0</v>
      </c>
    </row>
    <row r="1441" spans="1:4">
      <c r="A1441" s="78" t="s">
        <v>1570</v>
      </c>
      <c r="B1441" s="76">
        <v>57698</v>
      </c>
      <c r="C1441" s="81">
        <v>0</v>
      </c>
      <c r="D1441" s="82">
        <v>0</v>
      </c>
    </row>
    <row r="1442" spans="1:4">
      <c r="A1442" s="78" t="s">
        <v>1571</v>
      </c>
      <c r="B1442" s="76">
        <v>57700</v>
      </c>
      <c r="C1442" s="81">
        <v>0</v>
      </c>
      <c r="D1442" s="82">
        <v>0</v>
      </c>
    </row>
    <row r="1443" spans="1:4" ht="28.5">
      <c r="A1443" s="78" t="s">
        <v>1572</v>
      </c>
      <c r="B1443" s="76">
        <v>57701</v>
      </c>
      <c r="C1443" s="81">
        <v>0</v>
      </c>
      <c r="D1443" s="82">
        <v>0</v>
      </c>
    </row>
    <row r="1444" spans="1:4" ht="28.5">
      <c r="A1444" s="78" t="s">
        <v>1573</v>
      </c>
      <c r="B1444" s="76">
        <v>57708</v>
      </c>
      <c r="C1444" s="81">
        <v>0</v>
      </c>
      <c r="D1444" s="82">
        <v>0</v>
      </c>
    </row>
    <row r="1445" spans="1:4" ht="28.5">
      <c r="A1445" s="78" t="s">
        <v>1574</v>
      </c>
      <c r="B1445" s="76">
        <v>57722</v>
      </c>
      <c r="C1445" s="81">
        <v>0</v>
      </c>
      <c r="D1445" s="82">
        <v>0</v>
      </c>
    </row>
    <row r="1446" spans="1:4" ht="28.5">
      <c r="A1446" s="78" t="s">
        <v>1575</v>
      </c>
      <c r="B1446" s="76">
        <v>57725</v>
      </c>
      <c r="C1446" s="81">
        <v>0</v>
      </c>
      <c r="D1446" s="82">
        <v>0</v>
      </c>
    </row>
    <row r="1447" spans="1:4" ht="42.75">
      <c r="A1447" s="78" t="s">
        <v>1576</v>
      </c>
      <c r="B1447" s="76">
        <v>57729</v>
      </c>
      <c r="C1447" s="81">
        <v>0</v>
      </c>
      <c r="D1447" s="82">
        <v>0</v>
      </c>
    </row>
    <row r="1448" spans="1:4">
      <c r="A1448" s="78" t="s">
        <v>1577</v>
      </c>
      <c r="B1448" s="76">
        <v>57736</v>
      </c>
      <c r="C1448" s="81">
        <v>0</v>
      </c>
      <c r="D1448" s="82">
        <v>0</v>
      </c>
    </row>
    <row r="1449" spans="1:4">
      <c r="A1449" s="78" t="s">
        <v>1578</v>
      </c>
      <c r="B1449" s="76">
        <v>57737</v>
      </c>
      <c r="C1449" s="81">
        <v>0</v>
      </c>
      <c r="D1449" s="82">
        <v>0</v>
      </c>
    </row>
    <row r="1450" spans="1:4">
      <c r="A1450" s="78" t="s">
        <v>1579</v>
      </c>
      <c r="B1450" s="76">
        <v>57738</v>
      </c>
      <c r="C1450" s="81">
        <v>0</v>
      </c>
      <c r="D1450" s="82">
        <v>0</v>
      </c>
    </row>
    <row r="1451" spans="1:4">
      <c r="A1451" s="78" t="s">
        <v>1580</v>
      </c>
      <c r="B1451" s="76">
        <v>57739</v>
      </c>
      <c r="C1451" s="81">
        <v>0</v>
      </c>
      <c r="D1451" s="82">
        <v>0</v>
      </c>
    </row>
    <row r="1452" spans="1:4">
      <c r="A1452" s="78" t="s">
        <v>1581</v>
      </c>
      <c r="B1452" s="76">
        <v>57740</v>
      </c>
      <c r="C1452" s="81">
        <v>0</v>
      </c>
      <c r="D1452" s="82">
        <v>0</v>
      </c>
    </row>
    <row r="1453" spans="1:4" ht="28.5">
      <c r="A1453" s="78" t="s">
        <v>1582</v>
      </c>
      <c r="B1453" s="76">
        <v>57743</v>
      </c>
      <c r="C1453" s="81">
        <v>0</v>
      </c>
      <c r="D1453" s="82">
        <v>0</v>
      </c>
    </row>
    <row r="1454" spans="1:4" ht="28.5">
      <c r="A1454" s="78" t="s">
        <v>1583</v>
      </c>
      <c r="B1454" s="76">
        <v>57748</v>
      </c>
      <c r="C1454" s="81">
        <v>0</v>
      </c>
      <c r="D1454" s="82">
        <v>0</v>
      </c>
    </row>
    <row r="1455" spans="1:4" ht="28.5">
      <c r="A1455" s="78" t="s">
        <v>1584</v>
      </c>
      <c r="B1455" s="76">
        <v>57749</v>
      </c>
      <c r="C1455" s="81">
        <v>0</v>
      </c>
      <c r="D1455" s="82">
        <v>0</v>
      </c>
    </row>
    <row r="1456" spans="1:4" ht="28.5">
      <c r="A1456" s="78" t="s">
        <v>1585</v>
      </c>
      <c r="B1456" s="76">
        <v>57753</v>
      </c>
      <c r="C1456" s="81">
        <v>0</v>
      </c>
      <c r="D1456" s="82">
        <v>0</v>
      </c>
    </row>
    <row r="1457" spans="1:4">
      <c r="A1457" s="78" t="s">
        <v>1586</v>
      </c>
      <c r="B1457" s="76">
        <v>57757</v>
      </c>
      <c r="C1457" s="81">
        <v>0</v>
      </c>
      <c r="D1457" s="82">
        <v>0</v>
      </c>
    </row>
    <row r="1458" spans="1:4" ht="28.5">
      <c r="A1458" s="78" t="s">
        <v>1587</v>
      </c>
      <c r="B1458" s="76">
        <v>57760</v>
      </c>
      <c r="C1458" s="81">
        <v>0</v>
      </c>
      <c r="D1458" s="82">
        <v>0</v>
      </c>
    </row>
    <row r="1459" spans="1:4" ht="28.5">
      <c r="A1459" s="78" t="s">
        <v>1588</v>
      </c>
      <c r="B1459" s="76">
        <v>57761</v>
      </c>
      <c r="C1459" s="81">
        <v>0</v>
      </c>
      <c r="D1459" s="82">
        <v>0</v>
      </c>
    </row>
    <row r="1460" spans="1:4" ht="42.75">
      <c r="A1460" s="78" t="s">
        <v>1589</v>
      </c>
      <c r="B1460" s="76">
        <v>57763</v>
      </c>
      <c r="C1460" s="81">
        <v>0</v>
      </c>
      <c r="D1460" s="82">
        <v>0</v>
      </c>
    </row>
    <row r="1461" spans="1:4" ht="42.75">
      <c r="A1461" s="78" t="s">
        <v>1590</v>
      </c>
      <c r="B1461" s="76">
        <v>57764</v>
      </c>
      <c r="C1461" s="81">
        <v>0</v>
      </c>
      <c r="D1461" s="82">
        <v>0</v>
      </c>
    </row>
    <row r="1462" spans="1:4" ht="28.5">
      <c r="A1462" s="78" t="s">
        <v>1591</v>
      </c>
      <c r="B1462" s="76">
        <v>57765</v>
      </c>
      <c r="C1462" s="81">
        <v>0</v>
      </c>
      <c r="D1462" s="82">
        <v>0</v>
      </c>
    </row>
    <row r="1463" spans="1:4" ht="28.5">
      <c r="A1463" s="78" t="s">
        <v>1592</v>
      </c>
      <c r="B1463" s="76">
        <v>57773</v>
      </c>
      <c r="C1463" s="81">
        <v>0</v>
      </c>
      <c r="D1463" s="82">
        <v>0</v>
      </c>
    </row>
    <row r="1464" spans="1:4">
      <c r="A1464" s="78" t="s">
        <v>1593</v>
      </c>
      <c r="B1464" s="76">
        <v>57774</v>
      </c>
      <c r="C1464" s="81">
        <v>0</v>
      </c>
      <c r="D1464" s="82">
        <v>0</v>
      </c>
    </row>
    <row r="1465" spans="1:4">
      <c r="A1465" s="78" t="s">
        <v>1594</v>
      </c>
      <c r="B1465" s="76">
        <v>57775</v>
      </c>
      <c r="C1465" s="81">
        <v>0</v>
      </c>
      <c r="D1465" s="82">
        <v>0</v>
      </c>
    </row>
    <row r="1466" spans="1:4">
      <c r="A1466" s="78" t="s">
        <v>1595</v>
      </c>
      <c r="B1466" s="76">
        <v>57777</v>
      </c>
      <c r="C1466" s="81">
        <v>0</v>
      </c>
      <c r="D1466" s="82">
        <v>0</v>
      </c>
    </row>
    <row r="1467" spans="1:4" ht="28.5">
      <c r="A1467" s="78" t="s">
        <v>1596</v>
      </c>
      <c r="B1467" s="76">
        <v>57778</v>
      </c>
      <c r="C1467" s="81">
        <v>0</v>
      </c>
      <c r="D1467" s="82">
        <v>0</v>
      </c>
    </row>
    <row r="1468" spans="1:4">
      <c r="A1468" s="78" t="s">
        <v>1597</v>
      </c>
      <c r="B1468" s="76">
        <v>57779</v>
      </c>
      <c r="C1468" s="81">
        <v>0</v>
      </c>
      <c r="D1468" s="82">
        <v>0</v>
      </c>
    </row>
    <row r="1469" spans="1:4" ht="28.5">
      <c r="A1469" s="78" t="s">
        <v>1598</v>
      </c>
      <c r="B1469" s="76">
        <v>57780</v>
      </c>
      <c r="C1469" s="81">
        <v>0</v>
      </c>
      <c r="D1469" s="82">
        <v>0</v>
      </c>
    </row>
    <row r="1470" spans="1:4">
      <c r="A1470" s="78" t="s">
        <v>1599</v>
      </c>
      <c r="B1470" s="76">
        <v>57781</v>
      </c>
      <c r="C1470" s="81">
        <v>0</v>
      </c>
      <c r="D1470" s="82">
        <v>0</v>
      </c>
    </row>
    <row r="1471" spans="1:4" ht="28.5">
      <c r="A1471" s="78" t="s">
        <v>1600</v>
      </c>
      <c r="B1471" s="76">
        <v>57782</v>
      </c>
      <c r="C1471" s="81">
        <v>0</v>
      </c>
      <c r="D1471" s="82">
        <v>0</v>
      </c>
    </row>
    <row r="1472" spans="1:4" ht="28.5">
      <c r="A1472" s="78" t="s">
        <v>1601</v>
      </c>
      <c r="B1472" s="76">
        <v>57783</v>
      </c>
      <c r="C1472" s="81">
        <v>0</v>
      </c>
      <c r="D1472" s="82">
        <v>0</v>
      </c>
    </row>
    <row r="1473" spans="1:4" ht="28.5">
      <c r="A1473" s="78" t="s">
        <v>1602</v>
      </c>
      <c r="B1473" s="76">
        <v>57784</v>
      </c>
      <c r="C1473" s="81">
        <v>0</v>
      </c>
      <c r="D1473" s="82">
        <v>0</v>
      </c>
    </row>
    <row r="1474" spans="1:4" ht="28.5">
      <c r="A1474" s="78" t="s">
        <v>1603</v>
      </c>
      <c r="B1474" s="76">
        <v>57785</v>
      </c>
      <c r="C1474" s="81">
        <v>0</v>
      </c>
      <c r="D1474" s="82">
        <v>0</v>
      </c>
    </row>
    <row r="1475" spans="1:4">
      <c r="A1475" s="78" t="s">
        <v>1604</v>
      </c>
      <c r="B1475" s="76">
        <v>57791</v>
      </c>
      <c r="C1475" s="81">
        <v>0</v>
      </c>
      <c r="D1475" s="82">
        <v>0</v>
      </c>
    </row>
    <row r="1476" spans="1:4">
      <c r="A1476" s="78" t="s">
        <v>1605</v>
      </c>
      <c r="B1476" s="76">
        <v>57792</v>
      </c>
      <c r="C1476" s="81">
        <v>0</v>
      </c>
      <c r="D1476" s="82">
        <v>0</v>
      </c>
    </row>
    <row r="1477" spans="1:4" ht="28.5">
      <c r="A1477" s="78" t="s">
        <v>1606</v>
      </c>
      <c r="B1477" s="76">
        <v>57796</v>
      </c>
      <c r="C1477" s="81">
        <v>0</v>
      </c>
      <c r="D1477" s="82">
        <v>0</v>
      </c>
    </row>
    <row r="1478" spans="1:4" ht="28.5">
      <c r="A1478" s="78" t="s">
        <v>1607</v>
      </c>
      <c r="B1478" s="76">
        <v>57797</v>
      </c>
      <c r="C1478" s="81">
        <v>0</v>
      </c>
      <c r="D1478" s="82">
        <v>0</v>
      </c>
    </row>
    <row r="1479" spans="1:4">
      <c r="A1479" s="78" t="s">
        <v>1608</v>
      </c>
      <c r="B1479" s="76">
        <v>57803</v>
      </c>
      <c r="C1479" s="81">
        <v>0</v>
      </c>
      <c r="D1479" s="82">
        <v>0</v>
      </c>
    </row>
    <row r="1480" spans="1:4">
      <c r="A1480" s="78" t="s">
        <v>1609</v>
      </c>
      <c r="B1480" s="76">
        <v>57806</v>
      </c>
      <c r="C1480" s="81">
        <v>0</v>
      </c>
      <c r="D1480" s="82">
        <v>0</v>
      </c>
    </row>
    <row r="1481" spans="1:4" ht="28.5">
      <c r="A1481" s="78" t="s">
        <v>1610</v>
      </c>
      <c r="B1481" s="76">
        <v>57816</v>
      </c>
      <c r="C1481" s="81">
        <v>0</v>
      </c>
      <c r="D1481" s="82">
        <v>0</v>
      </c>
    </row>
    <row r="1482" spans="1:4" ht="28.5">
      <c r="A1482" s="78" t="s">
        <v>1611</v>
      </c>
      <c r="B1482" s="76">
        <v>57817</v>
      </c>
      <c r="C1482" s="81">
        <v>0</v>
      </c>
      <c r="D1482" s="82">
        <v>0</v>
      </c>
    </row>
    <row r="1483" spans="1:4" ht="28.5">
      <c r="A1483" s="78" t="s">
        <v>1612</v>
      </c>
      <c r="B1483" s="76">
        <v>57818</v>
      </c>
      <c r="C1483" s="81">
        <v>0</v>
      </c>
      <c r="D1483" s="82">
        <v>0</v>
      </c>
    </row>
    <row r="1484" spans="1:4" ht="28.5">
      <c r="A1484" s="78" t="s">
        <v>1613</v>
      </c>
      <c r="B1484" s="76">
        <v>57819</v>
      </c>
      <c r="C1484" s="81">
        <v>0</v>
      </c>
      <c r="D1484" s="82">
        <v>0</v>
      </c>
    </row>
    <row r="1485" spans="1:4" ht="28.5">
      <c r="A1485" s="78" t="s">
        <v>1614</v>
      </c>
      <c r="B1485" s="76">
        <v>57820</v>
      </c>
      <c r="C1485" s="81">
        <v>0</v>
      </c>
      <c r="D1485" s="82">
        <v>0</v>
      </c>
    </row>
    <row r="1486" spans="1:4" ht="28.5">
      <c r="A1486" s="78" t="s">
        <v>1615</v>
      </c>
      <c r="B1486" s="76">
        <v>57821</v>
      </c>
      <c r="C1486" s="81">
        <v>0</v>
      </c>
      <c r="D1486" s="82">
        <v>0</v>
      </c>
    </row>
    <row r="1487" spans="1:4" ht="42.75">
      <c r="A1487" s="78" t="s">
        <v>1616</v>
      </c>
      <c r="B1487" s="76">
        <v>57827</v>
      </c>
      <c r="C1487" s="81">
        <v>0</v>
      </c>
      <c r="D1487" s="82">
        <v>0</v>
      </c>
    </row>
    <row r="1488" spans="1:4">
      <c r="A1488" s="78" t="s">
        <v>1617</v>
      </c>
      <c r="B1488" s="76">
        <v>57831</v>
      </c>
      <c r="C1488" s="81">
        <v>0</v>
      </c>
      <c r="D1488" s="82">
        <v>0</v>
      </c>
    </row>
    <row r="1489" spans="1:4">
      <c r="A1489" s="78" t="s">
        <v>1618</v>
      </c>
      <c r="B1489" s="76">
        <v>57833</v>
      </c>
      <c r="C1489" s="81">
        <v>0</v>
      </c>
      <c r="D1489" s="82">
        <v>0</v>
      </c>
    </row>
    <row r="1490" spans="1:4">
      <c r="A1490" s="78" t="s">
        <v>1619</v>
      </c>
      <c r="B1490" s="76">
        <v>57834</v>
      </c>
      <c r="C1490" s="81">
        <v>0</v>
      </c>
      <c r="D1490" s="82">
        <v>0</v>
      </c>
    </row>
    <row r="1491" spans="1:4">
      <c r="A1491" s="78" t="s">
        <v>1620</v>
      </c>
      <c r="B1491" s="76">
        <v>57835</v>
      </c>
      <c r="C1491" s="81">
        <v>0</v>
      </c>
      <c r="D1491" s="82">
        <v>0</v>
      </c>
    </row>
    <row r="1492" spans="1:4">
      <c r="A1492" s="78" t="s">
        <v>1621</v>
      </c>
      <c r="B1492" s="76">
        <v>57836</v>
      </c>
      <c r="C1492" s="81">
        <v>0</v>
      </c>
      <c r="D1492" s="82">
        <v>0</v>
      </c>
    </row>
    <row r="1493" spans="1:4">
      <c r="A1493" s="78" t="s">
        <v>1622</v>
      </c>
      <c r="B1493" s="76">
        <v>57837</v>
      </c>
      <c r="C1493" s="81">
        <v>0</v>
      </c>
      <c r="D1493" s="82">
        <v>0</v>
      </c>
    </row>
    <row r="1494" spans="1:4" ht="28.5">
      <c r="A1494" s="78" t="s">
        <v>1623</v>
      </c>
      <c r="B1494" s="76">
        <v>57840</v>
      </c>
      <c r="C1494" s="81">
        <v>0</v>
      </c>
      <c r="D1494" s="82">
        <v>0</v>
      </c>
    </row>
    <row r="1495" spans="1:4" ht="28.5">
      <c r="A1495" s="78" t="s">
        <v>1624</v>
      </c>
      <c r="B1495" s="76">
        <v>57841</v>
      </c>
      <c r="C1495" s="81">
        <v>0</v>
      </c>
      <c r="D1495" s="82">
        <v>0</v>
      </c>
    </row>
    <row r="1496" spans="1:4" ht="28.5">
      <c r="A1496" s="78" t="s">
        <v>1625</v>
      </c>
      <c r="B1496" s="76">
        <v>57849</v>
      </c>
      <c r="C1496" s="81">
        <v>0</v>
      </c>
      <c r="D1496" s="82">
        <v>0</v>
      </c>
    </row>
    <row r="1497" spans="1:4" ht="28.5">
      <c r="A1497" s="78" t="s">
        <v>1626</v>
      </c>
      <c r="B1497" s="76">
        <v>57850</v>
      </c>
      <c r="C1497" s="81">
        <v>0</v>
      </c>
      <c r="D1497" s="82">
        <v>0</v>
      </c>
    </row>
    <row r="1498" spans="1:4">
      <c r="A1498" s="78" t="s">
        <v>1627</v>
      </c>
      <c r="B1498" s="76">
        <v>57854</v>
      </c>
      <c r="C1498" s="81">
        <v>0</v>
      </c>
      <c r="D1498" s="82">
        <v>0</v>
      </c>
    </row>
    <row r="1499" spans="1:4" ht="28.5">
      <c r="A1499" s="78" t="s">
        <v>1628</v>
      </c>
      <c r="B1499" s="76">
        <v>57856</v>
      </c>
      <c r="C1499" s="81">
        <v>0</v>
      </c>
      <c r="D1499" s="82">
        <v>0</v>
      </c>
    </row>
    <row r="1500" spans="1:4" ht="28.5">
      <c r="A1500" s="78" t="s">
        <v>1629</v>
      </c>
      <c r="B1500" s="76">
        <v>57860</v>
      </c>
      <c r="C1500" s="81">
        <v>0</v>
      </c>
      <c r="D1500" s="82">
        <v>0</v>
      </c>
    </row>
    <row r="1501" spans="1:4" ht="28.5">
      <c r="A1501" s="78" t="s">
        <v>1630</v>
      </c>
      <c r="B1501" s="76">
        <v>57870</v>
      </c>
      <c r="C1501" s="81">
        <v>0</v>
      </c>
      <c r="D1501" s="82">
        <v>0</v>
      </c>
    </row>
    <row r="1502" spans="1:4" ht="28.5">
      <c r="A1502" s="78" t="s">
        <v>1631</v>
      </c>
      <c r="B1502" s="76">
        <v>57882</v>
      </c>
      <c r="C1502" s="81">
        <v>0</v>
      </c>
      <c r="D1502" s="82">
        <v>0</v>
      </c>
    </row>
    <row r="1503" spans="1:4" ht="28.5">
      <c r="A1503" s="78" t="s">
        <v>1632</v>
      </c>
      <c r="B1503" s="76">
        <v>57883</v>
      </c>
      <c r="C1503" s="81">
        <v>0</v>
      </c>
      <c r="D1503" s="82">
        <v>0</v>
      </c>
    </row>
    <row r="1504" spans="1:4" ht="28.5">
      <c r="A1504" s="78" t="s">
        <v>1633</v>
      </c>
      <c r="B1504" s="76">
        <v>57891</v>
      </c>
      <c r="C1504" s="81">
        <v>0</v>
      </c>
      <c r="D1504" s="82">
        <v>0</v>
      </c>
    </row>
    <row r="1505" spans="1:4" ht="28.5">
      <c r="A1505" s="78" t="s">
        <v>1634</v>
      </c>
      <c r="B1505" s="76">
        <v>57892</v>
      </c>
      <c r="C1505" s="81">
        <v>0</v>
      </c>
      <c r="D1505" s="82">
        <v>0</v>
      </c>
    </row>
    <row r="1506" spans="1:4" ht="28.5">
      <c r="A1506" s="78" t="s">
        <v>1635</v>
      </c>
      <c r="B1506" s="76">
        <v>57895</v>
      </c>
      <c r="C1506" s="81">
        <v>0</v>
      </c>
      <c r="D1506" s="82">
        <v>0</v>
      </c>
    </row>
    <row r="1507" spans="1:4" ht="28.5">
      <c r="A1507" s="78" t="s">
        <v>1636</v>
      </c>
      <c r="B1507" s="76">
        <v>57904</v>
      </c>
      <c r="C1507" s="81">
        <v>0</v>
      </c>
      <c r="D1507" s="82">
        <v>0</v>
      </c>
    </row>
    <row r="1508" spans="1:4">
      <c r="A1508" s="78" t="s">
        <v>1637</v>
      </c>
      <c r="B1508" s="76">
        <v>57913</v>
      </c>
      <c r="C1508" s="81">
        <v>0</v>
      </c>
      <c r="D1508" s="82">
        <v>0</v>
      </c>
    </row>
    <row r="1509" spans="1:4" ht="28.5">
      <c r="A1509" s="78" t="s">
        <v>1638</v>
      </c>
      <c r="B1509" s="76">
        <v>57933</v>
      </c>
      <c r="C1509" s="81">
        <v>0</v>
      </c>
      <c r="D1509" s="82">
        <v>0</v>
      </c>
    </row>
    <row r="1510" spans="1:4" ht="28.5">
      <c r="A1510" s="78" t="s">
        <v>1639</v>
      </c>
      <c r="B1510" s="76">
        <v>57947</v>
      </c>
      <c r="C1510" s="81">
        <v>0</v>
      </c>
      <c r="D1510" s="82">
        <v>0</v>
      </c>
    </row>
    <row r="1511" spans="1:4" ht="28.5">
      <c r="A1511" s="78" t="s">
        <v>1640</v>
      </c>
      <c r="B1511" s="76">
        <v>57959</v>
      </c>
      <c r="C1511" s="81">
        <v>0</v>
      </c>
      <c r="D1511" s="82">
        <v>0</v>
      </c>
    </row>
    <row r="1512" spans="1:4" ht="28.5">
      <c r="A1512" s="78" t="s">
        <v>1641</v>
      </c>
      <c r="B1512" s="76">
        <v>57962</v>
      </c>
      <c r="C1512" s="81">
        <v>0</v>
      </c>
      <c r="D1512" s="82">
        <v>0</v>
      </c>
    </row>
    <row r="1513" spans="1:4" ht="28.5">
      <c r="A1513" s="78" t="s">
        <v>1642</v>
      </c>
      <c r="B1513" s="76">
        <v>57963</v>
      </c>
      <c r="C1513" s="81">
        <v>0</v>
      </c>
      <c r="D1513" s="82">
        <v>0</v>
      </c>
    </row>
    <row r="1514" spans="1:4" ht="28.5">
      <c r="A1514" s="78" t="s">
        <v>1643</v>
      </c>
      <c r="B1514" s="76">
        <v>57965</v>
      </c>
      <c r="C1514" s="81">
        <v>0</v>
      </c>
      <c r="D1514" s="82">
        <v>0</v>
      </c>
    </row>
    <row r="1515" spans="1:4" ht="28.5">
      <c r="A1515" s="78" t="s">
        <v>1644</v>
      </c>
      <c r="B1515" s="76">
        <v>57970</v>
      </c>
      <c r="C1515" s="81">
        <v>0</v>
      </c>
      <c r="D1515" s="82">
        <v>0</v>
      </c>
    </row>
    <row r="1516" spans="1:4" ht="28.5">
      <c r="A1516" s="78" t="s">
        <v>1645</v>
      </c>
      <c r="B1516" s="76">
        <v>57980</v>
      </c>
      <c r="C1516" s="81">
        <v>0</v>
      </c>
      <c r="D1516" s="82">
        <v>0</v>
      </c>
    </row>
    <row r="1517" spans="1:4" ht="28.5">
      <c r="A1517" s="78" t="s">
        <v>1646</v>
      </c>
      <c r="B1517" s="76">
        <v>57982</v>
      </c>
      <c r="C1517" s="81">
        <v>0</v>
      </c>
      <c r="D1517" s="82">
        <v>0</v>
      </c>
    </row>
    <row r="1518" spans="1:4">
      <c r="A1518" s="78" t="s">
        <v>1647</v>
      </c>
      <c r="B1518" s="76">
        <v>57985</v>
      </c>
      <c r="C1518" s="81">
        <v>0</v>
      </c>
      <c r="D1518" s="82">
        <v>0</v>
      </c>
    </row>
    <row r="1519" spans="1:4">
      <c r="A1519" s="78" t="s">
        <v>1648</v>
      </c>
      <c r="B1519" s="76">
        <v>57986</v>
      </c>
      <c r="C1519" s="81">
        <v>0</v>
      </c>
      <c r="D1519" s="82">
        <v>0</v>
      </c>
    </row>
    <row r="1520" spans="1:4" ht="28.5">
      <c r="A1520" s="78" t="s">
        <v>1649</v>
      </c>
      <c r="B1520" s="76">
        <v>57993</v>
      </c>
      <c r="C1520" s="81">
        <v>0</v>
      </c>
      <c r="D1520" s="82">
        <v>0</v>
      </c>
    </row>
    <row r="1521" spans="1:4">
      <c r="A1521" s="78" t="s">
        <v>1650</v>
      </c>
      <c r="B1521" s="76">
        <v>58002</v>
      </c>
      <c r="C1521" s="81">
        <v>0</v>
      </c>
      <c r="D1521" s="82">
        <v>0</v>
      </c>
    </row>
    <row r="1522" spans="1:4">
      <c r="A1522" s="78" t="s">
        <v>1651</v>
      </c>
      <c r="B1522" s="76">
        <v>58003</v>
      </c>
      <c r="C1522" s="81">
        <v>0</v>
      </c>
      <c r="D1522" s="82">
        <v>0</v>
      </c>
    </row>
    <row r="1523" spans="1:4" ht="28.5">
      <c r="A1523" s="78" t="s">
        <v>1652</v>
      </c>
      <c r="B1523" s="76">
        <v>58006</v>
      </c>
      <c r="C1523" s="81">
        <v>0</v>
      </c>
      <c r="D1523" s="82">
        <v>0</v>
      </c>
    </row>
    <row r="1524" spans="1:4">
      <c r="A1524" s="78" t="s">
        <v>1653</v>
      </c>
      <c r="B1524" s="76">
        <v>58028</v>
      </c>
      <c r="C1524" s="81">
        <v>0</v>
      </c>
      <c r="D1524" s="82">
        <v>0</v>
      </c>
    </row>
    <row r="1525" spans="1:4" ht="28.5">
      <c r="A1525" s="78" t="s">
        <v>1654</v>
      </c>
      <c r="B1525" s="76">
        <v>58034</v>
      </c>
      <c r="C1525" s="81">
        <v>0</v>
      </c>
      <c r="D1525" s="82">
        <v>0</v>
      </c>
    </row>
    <row r="1526" spans="1:4" ht="28.5">
      <c r="A1526" s="78" t="s">
        <v>1655</v>
      </c>
      <c r="B1526" s="76">
        <v>58037</v>
      </c>
      <c r="C1526" s="81">
        <v>0</v>
      </c>
      <c r="D1526" s="82">
        <v>0</v>
      </c>
    </row>
    <row r="1527" spans="1:4" ht="28.5">
      <c r="A1527" s="78" t="s">
        <v>1656</v>
      </c>
      <c r="B1527" s="76">
        <v>58039</v>
      </c>
      <c r="C1527" s="81">
        <v>0</v>
      </c>
      <c r="D1527" s="82">
        <v>0</v>
      </c>
    </row>
    <row r="1528" spans="1:4" ht="28.5">
      <c r="A1528" s="78" t="s">
        <v>1657</v>
      </c>
      <c r="B1528" s="76">
        <v>58042</v>
      </c>
      <c r="C1528" s="81">
        <v>0</v>
      </c>
      <c r="D1528" s="82">
        <v>0</v>
      </c>
    </row>
    <row r="1529" spans="1:4" ht="28.5">
      <c r="A1529" s="78" t="s">
        <v>1658</v>
      </c>
      <c r="B1529" s="76">
        <v>58056</v>
      </c>
      <c r="C1529" s="81">
        <v>0</v>
      </c>
      <c r="D1529" s="82">
        <v>0</v>
      </c>
    </row>
    <row r="1530" spans="1:4" ht="42.75">
      <c r="A1530" s="78" t="s">
        <v>1659</v>
      </c>
      <c r="B1530" s="76">
        <v>58062</v>
      </c>
      <c r="C1530" s="81">
        <v>0</v>
      </c>
      <c r="D1530" s="82">
        <v>0</v>
      </c>
    </row>
    <row r="1531" spans="1:4">
      <c r="A1531" s="78" t="s">
        <v>1660</v>
      </c>
      <c r="B1531" s="76">
        <v>58073</v>
      </c>
      <c r="C1531" s="81">
        <v>0</v>
      </c>
      <c r="D1531" s="82">
        <v>0</v>
      </c>
    </row>
    <row r="1532" spans="1:4">
      <c r="A1532" s="78" t="s">
        <v>1661</v>
      </c>
      <c r="B1532" s="76">
        <v>58074</v>
      </c>
      <c r="C1532" s="81">
        <v>0</v>
      </c>
      <c r="D1532" s="82">
        <v>0</v>
      </c>
    </row>
    <row r="1533" spans="1:4" ht="28.5">
      <c r="A1533" s="78" t="s">
        <v>1662</v>
      </c>
      <c r="B1533" s="76">
        <v>58076</v>
      </c>
      <c r="C1533" s="81">
        <v>0</v>
      </c>
      <c r="D1533" s="82">
        <v>0</v>
      </c>
    </row>
    <row r="1534" spans="1:4">
      <c r="A1534" s="78" t="s">
        <v>1663</v>
      </c>
      <c r="B1534" s="76">
        <v>58086</v>
      </c>
      <c r="C1534" s="81">
        <v>0</v>
      </c>
      <c r="D1534" s="82">
        <v>0</v>
      </c>
    </row>
    <row r="1535" spans="1:4" ht="42.75">
      <c r="A1535" s="78" t="s">
        <v>1664</v>
      </c>
      <c r="B1535" s="76">
        <v>58101</v>
      </c>
      <c r="C1535" s="81">
        <v>0</v>
      </c>
      <c r="D1535" s="82">
        <v>0</v>
      </c>
    </row>
    <row r="1536" spans="1:4" ht="28.5">
      <c r="A1536" s="78" t="s">
        <v>1665</v>
      </c>
      <c r="B1536" s="76">
        <v>58102</v>
      </c>
      <c r="C1536" s="81">
        <v>0</v>
      </c>
      <c r="D1536" s="82">
        <v>0</v>
      </c>
    </row>
    <row r="1537" spans="1:4" ht="28.5">
      <c r="A1537" s="78" t="s">
        <v>1666</v>
      </c>
      <c r="B1537" s="76">
        <v>58104</v>
      </c>
      <c r="C1537" s="81">
        <v>0</v>
      </c>
      <c r="D1537" s="82">
        <v>0</v>
      </c>
    </row>
    <row r="1538" spans="1:4" ht="28.5">
      <c r="A1538" s="78" t="s">
        <v>1667</v>
      </c>
      <c r="B1538" s="76">
        <v>58105</v>
      </c>
      <c r="C1538" s="81">
        <v>0</v>
      </c>
      <c r="D1538" s="82">
        <v>0</v>
      </c>
    </row>
    <row r="1539" spans="1:4" ht="28.5">
      <c r="A1539" s="78" t="s">
        <v>1668</v>
      </c>
      <c r="B1539" s="76">
        <v>58106</v>
      </c>
      <c r="C1539" s="81">
        <v>0</v>
      </c>
      <c r="D1539" s="82">
        <v>0</v>
      </c>
    </row>
    <row r="1540" spans="1:4" ht="28.5">
      <c r="A1540" s="78" t="s">
        <v>1669</v>
      </c>
      <c r="B1540" s="76">
        <v>58112</v>
      </c>
      <c r="C1540" s="81">
        <v>0</v>
      </c>
      <c r="D1540" s="82">
        <v>0</v>
      </c>
    </row>
    <row r="1541" spans="1:4">
      <c r="A1541" s="78" t="s">
        <v>1670</v>
      </c>
      <c r="B1541" s="76">
        <v>58113</v>
      </c>
      <c r="C1541" s="81">
        <v>0</v>
      </c>
      <c r="D1541" s="82">
        <v>0</v>
      </c>
    </row>
    <row r="1542" spans="1:4">
      <c r="A1542" s="78" t="s">
        <v>1671</v>
      </c>
      <c r="B1542" s="76">
        <v>58114</v>
      </c>
      <c r="C1542" s="81">
        <v>0</v>
      </c>
      <c r="D1542" s="82">
        <v>0</v>
      </c>
    </row>
    <row r="1543" spans="1:4">
      <c r="A1543" s="78" t="s">
        <v>1672</v>
      </c>
      <c r="B1543" s="76">
        <v>58118</v>
      </c>
      <c r="C1543" s="81">
        <v>0</v>
      </c>
      <c r="D1543" s="82">
        <v>0</v>
      </c>
    </row>
    <row r="1544" spans="1:4" ht="28.5">
      <c r="A1544" s="78" t="s">
        <v>1673</v>
      </c>
      <c r="B1544" s="76">
        <v>58119</v>
      </c>
      <c r="C1544" s="81">
        <v>0</v>
      </c>
      <c r="D1544" s="82">
        <v>0</v>
      </c>
    </row>
    <row r="1545" spans="1:4">
      <c r="A1545" s="78" t="s">
        <v>1674</v>
      </c>
      <c r="B1545" s="76">
        <v>58126</v>
      </c>
      <c r="C1545" s="81">
        <v>0</v>
      </c>
      <c r="D1545" s="82">
        <v>0</v>
      </c>
    </row>
    <row r="1546" spans="1:4">
      <c r="A1546" s="78" t="s">
        <v>1675</v>
      </c>
      <c r="B1546" s="76">
        <v>58127</v>
      </c>
      <c r="C1546" s="81">
        <v>0</v>
      </c>
      <c r="D1546" s="82">
        <v>0</v>
      </c>
    </row>
    <row r="1547" spans="1:4" ht="28.5">
      <c r="A1547" s="78" t="s">
        <v>1676</v>
      </c>
      <c r="B1547" s="76">
        <v>58131</v>
      </c>
      <c r="C1547" s="81">
        <v>0</v>
      </c>
      <c r="D1547" s="82">
        <v>0</v>
      </c>
    </row>
    <row r="1548" spans="1:4" ht="28.5">
      <c r="A1548" s="78" t="s">
        <v>1677</v>
      </c>
      <c r="B1548" s="76">
        <v>58148</v>
      </c>
      <c r="C1548" s="81">
        <v>0</v>
      </c>
      <c r="D1548" s="82">
        <v>0</v>
      </c>
    </row>
    <row r="1549" spans="1:4" ht="28.5">
      <c r="A1549" s="78" t="s">
        <v>1678</v>
      </c>
      <c r="B1549" s="76">
        <v>58149</v>
      </c>
      <c r="C1549" s="81">
        <v>0</v>
      </c>
      <c r="D1549" s="82">
        <v>0</v>
      </c>
    </row>
    <row r="1550" spans="1:4" ht="28.5">
      <c r="A1550" s="78" t="s">
        <v>1679</v>
      </c>
      <c r="B1550" s="76">
        <v>58150</v>
      </c>
      <c r="C1550" s="81">
        <v>0</v>
      </c>
      <c r="D1550" s="82">
        <v>0</v>
      </c>
    </row>
    <row r="1551" spans="1:4" ht="28.5">
      <c r="A1551" s="78" t="s">
        <v>1680</v>
      </c>
      <c r="B1551" s="76">
        <v>58154</v>
      </c>
      <c r="C1551" s="81">
        <v>0</v>
      </c>
      <c r="D1551" s="82">
        <v>0</v>
      </c>
    </row>
    <row r="1552" spans="1:4">
      <c r="A1552" s="78" t="s">
        <v>1681</v>
      </c>
      <c r="B1552" s="76">
        <v>58171</v>
      </c>
      <c r="C1552" s="81">
        <v>0</v>
      </c>
      <c r="D1552" s="82">
        <v>0</v>
      </c>
    </row>
    <row r="1553" spans="1:4" ht="28.5">
      <c r="A1553" s="78" t="s">
        <v>1682</v>
      </c>
      <c r="B1553" s="76">
        <v>58202</v>
      </c>
      <c r="C1553" s="81">
        <v>0</v>
      </c>
      <c r="D1553" s="82">
        <v>0</v>
      </c>
    </row>
    <row r="1554" spans="1:4" ht="28.5">
      <c r="A1554" s="78" t="s">
        <v>1683</v>
      </c>
      <c r="B1554" s="76">
        <v>58204</v>
      </c>
      <c r="C1554" s="81">
        <v>0</v>
      </c>
      <c r="D1554" s="82">
        <v>0</v>
      </c>
    </row>
    <row r="1555" spans="1:4" ht="28.5">
      <c r="A1555" s="78" t="s">
        <v>1684</v>
      </c>
      <c r="B1555" s="76">
        <v>58206</v>
      </c>
      <c r="C1555" s="81">
        <v>0</v>
      </c>
      <c r="D1555" s="82">
        <v>0</v>
      </c>
    </row>
    <row r="1556" spans="1:4" ht="28.5">
      <c r="A1556" s="78" t="s">
        <v>1685</v>
      </c>
      <c r="B1556" s="76">
        <v>58217</v>
      </c>
      <c r="C1556" s="81">
        <v>0</v>
      </c>
      <c r="D1556" s="82">
        <v>0</v>
      </c>
    </row>
    <row r="1557" spans="1:4" ht="28.5">
      <c r="A1557" s="78" t="s">
        <v>1686</v>
      </c>
      <c r="B1557" s="76">
        <v>58218</v>
      </c>
      <c r="C1557" s="81">
        <v>0</v>
      </c>
      <c r="D1557" s="82">
        <v>0</v>
      </c>
    </row>
    <row r="1558" spans="1:4" ht="28.5">
      <c r="A1558" s="78" t="s">
        <v>1687</v>
      </c>
      <c r="B1558" s="76">
        <v>58226</v>
      </c>
      <c r="C1558" s="81">
        <v>0</v>
      </c>
      <c r="D1558" s="82">
        <v>0</v>
      </c>
    </row>
    <row r="1559" spans="1:4" ht="28.5">
      <c r="A1559" s="78" t="s">
        <v>1688</v>
      </c>
      <c r="B1559" s="76">
        <v>58227</v>
      </c>
      <c r="C1559" s="81">
        <v>0</v>
      </c>
      <c r="D1559" s="82">
        <v>0</v>
      </c>
    </row>
    <row r="1560" spans="1:4" ht="28.5">
      <c r="A1560" s="78" t="s">
        <v>1689</v>
      </c>
      <c r="B1560" s="76">
        <v>58232</v>
      </c>
      <c r="C1560" s="81">
        <v>0</v>
      </c>
      <c r="D1560" s="82">
        <v>0</v>
      </c>
    </row>
    <row r="1561" spans="1:4">
      <c r="A1561" s="78" t="s">
        <v>1690</v>
      </c>
      <c r="B1561" s="76">
        <v>58233</v>
      </c>
      <c r="C1561" s="81">
        <v>0</v>
      </c>
      <c r="D1561" s="82">
        <v>0</v>
      </c>
    </row>
    <row r="1562" spans="1:4">
      <c r="A1562" s="78" t="s">
        <v>1691</v>
      </c>
      <c r="B1562" s="76">
        <v>58234</v>
      </c>
      <c r="C1562" s="81">
        <v>0</v>
      </c>
      <c r="D1562" s="82">
        <v>0</v>
      </c>
    </row>
    <row r="1563" spans="1:4">
      <c r="A1563" s="78" t="s">
        <v>1692</v>
      </c>
      <c r="B1563" s="76">
        <v>58240</v>
      </c>
      <c r="C1563" s="81">
        <v>0</v>
      </c>
      <c r="D1563" s="82">
        <v>0</v>
      </c>
    </row>
    <row r="1564" spans="1:4" ht="28.5">
      <c r="A1564" s="78" t="s">
        <v>1693</v>
      </c>
      <c r="B1564" s="76">
        <v>58244</v>
      </c>
      <c r="C1564" s="81">
        <v>0</v>
      </c>
      <c r="D1564" s="82">
        <v>0</v>
      </c>
    </row>
    <row r="1565" spans="1:4">
      <c r="A1565" s="78" t="s">
        <v>1694</v>
      </c>
      <c r="B1565" s="76">
        <v>58248</v>
      </c>
      <c r="C1565" s="81">
        <v>0</v>
      </c>
      <c r="D1565" s="82">
        <v>0</v>
      </c>
    </row>
    <row r="1566" spans="1:4" ht="42.75">
      <c r="A1566" s="78" t="s">
        <v>1695</v>
      </c>
      <c r="B1566" s="76">
        <v>58249</v>
      </c>
      <c r="C1566" s="81">
        <v>0</v>
      </c>
      <c r="D1566" s="82">
        <v>0</v>
      </c>
    </row>
    <row r="1567" spans="1:4" ht="28.5">
      <c r="A1567" s="78" t="s">
        <v>1696</v>
      </c>
      <c r="B1567" s="76">
        <v>58253</v>
      </c>
      <c r="C1567" s="81">
        <v>0</v>
      </c>
      <c r="D1567" s="82">
        <v>0</v>
      </c>
    </row>
    <row r="1568" spans="1:4" ht="28.5">
      <c r="A1568" s="78" t="s">
        <v>1697</v>
      </c>
      <c r="B1568" s="76">
        <v>58256</v>
      </c>
      <c r="C1568" s="81">
        <v>0</v>
      </c>
      <c r="D1568" s="82">
        <v>0</v>
      </c>
    </row>
    <row r="1569" spans="1:4" ht="28.5">
      <c r="A1569" s="78" t="s">
        <v>1698</v>
      </c>
      <c r="B1569" s="76">
        <v>58261</v>
      </c>
      <c r="C1569" s="81">
        <v>0</v>
      </c>
      <c r="D1569" s="82">
        <v>0</v>
      </c>
    </row>
    <row r="1570" spans="1:4">
      <c r="A1570" s="78" t="s">
        <v>1699</v>
      </c>
      <c r="B1570" s="76">
        <v>58289</v>
      </c>
      <c r="C1570" s="81">
        <v>0</v>
      </c>
      <c r="D1570" s="82">
        <v>0</v>
      </c>
    </row>
    <row r="1571" spans="1:4">
      <c r="A1571" s="78" t="s">
        <v>1700</v>
      </c>
      <c r="B1571" s="76">
        <v>58290</v>
      </c>
      <c r="C1571" s="81">
        <v>0</v>
      </c>
      <c r="D1571" s="82">
        <v>0</v>
      </c>
    </row>
    <row r="1572" spans="1:4" ht="42.75">
      <c r="A1572" s="78" t="s">
        <v>1701</v>
      </c>
      <c r="B1572" s="76">
        <v>58292</v>
      </c>
      <c r="C1572" s="81">
        <v>0</v>
      </c>
      <c r="D1572" s="82">
        <v>0</v>
      </c>
    </row>
    <row r="1573" spans="1:4" ht="28.5">
      <c r="A1573" s="78" t="s">
        <v>1702</v>
      </c>
      <c r="B1573" s="76">
        <v>58293</v>
      </c>
      <c r="C1573" s="81">
        <v>0</v>
      </c>
      <c r="D1573" s="82">
        <v>0</v>
      </c>
    </row>
    <row r="1574" spans="1:4">
      <c r="A1574" s="78" t="s">
        <v>1703</v>
      </c>
      <c r="B1574" s="76">
        <v>58304</v>
      </c>
      <c r="C1574" s="81">
        <v>0</v>
      </c>
      <c r="D1574" s="82">
        <v>0</v>
      </c>
    </row>
    <row r="1575" spans="1:4">
      <c r="A1575" s="78" t="s">
        <v>1704</v>
      </c>
      <c r="B1575" s="76">
        <v>58306</v>
      </c>
      <c r="C1575" s="81">
        <v>0</v>
      </c>
      <c r="D1575" s="82">
        <v>0</v>
      </c>
    </row>
    <row r="1576" spans="1:4">
      <c r="A1576" s="78" t="s">
        <v>1705</v>
      </c>
      <c r="B1576" s="76">
        <v>58307</v>
      </c>
      <c r="C1576" s="81">
        <v>0</v>
      </c>
      <c r="D1576" s="82">
        <v>0</v>
      </c>
    </row>
    <row r="1577" spans="1:4">
      <c r="A1577" s="78" t="s">
        <v>1706</v>
      </c>
      <c r="B1577" s="76">
        <v>58308</v>
      </c>
      <c r="C1577" s="81">
        <v>0</v>
      </c>
      <c r="D1577" s="82">
        <v>0</v>
      </c>
    </row>
    <row r="1578" spans="1:4">
      <c r="A1578" s="78" t="s">
        <v>1707</v>
      </c>
      <c r="B1578" s="76">
        <v>58309</v>
      </c>
      <c r="C1578" s="81">
        <v>0</v>
      </c>
      <c r="D1578" s="82">
        <v>0</v>
      </c>
    </row>
    <row r="1579" spans="1:4">
      <c r="A1579" s="78" t="s">
        <v>1708</v>
      </c>
      <c r="B1579" s="76">
        <v>58354</v>
      </c>
      <c r="C1579" s="81">
        <v>0</v>
      </c>
      <c r="D1579" s="82">
        <v>0</v>
      </c>
    </row>
    <row r="1580" spans="1:4">
      <c r="A1580" s="78" t="s">
        <v>1709</v>
      </c>
      <c r="B1580" s="76">
        <v>58355</v>
      </c>
      <c r="C1580" s="81">
        <v>0</v>
      </c>
      <c r="D1580" s="82">
        <v>0</v>
      </c>
    </row>
    <row r="1581" spans="1:4">
      <c r="A1581" s="78" t="s">
        <v>1710</v>
      </c>
      <c r="B1581" s="76">
        <v>58366</v>
      </c>
      <c r="C1581" s="81">
        <v>0</v>
      </c>
      <c r="D1581" s="82">
        <v>0</v>
      </c>
    </row>
    <row r="1582" spans="1:4">
      <c r="A1582" s="78" t="s">
        <v>1711</v>
      </c>
      <c r="B1582" s="76">
        <v>58370</v>
      </c>
      <c r="C1582" s="81">
        <v>0</v>
      </c>
      <c r="D1582" s="82">
        <v>0</v>
      </c>
    </row>
    <row r="1583" spans="1:4">
      <c r="A1583" s="78" t="s">
        <v>1712</v>
      </c>
      <c r="B1583" s="76">
        <v>58371</v>
      </c>
      <c r="C1583" s="81">
        <v>0</v>
      </c>
      <c r="D1583" s="82">
        <v>0</v>
      </c>
    </row>
    <row r="1584" spans="1:4">
      <c r="A1584" s="78" t="s">
        <v>1713</v>
      </c>
      <c r="B1584" s="76">
        <v>58373</v>
      </c>
      <c r="C1584" s="81">
        <v>0</v>
      </c>
      <c r="D1584" s="82">
        <v>0</v>
      </c>
    </row>
    <row r="1585" spans="1:4">
      <c r="A1585" s="78" t="s">
        <v>1714</v>
      </c>
      <c r="B1585" s="76">
        <v>58374</v>
      </c>
      <c r="C1585" s="81">
        <v>0</v>
      </c>
      <c r="D1585" s="82">
        <v>0</v>
      </c>
    </row>
    <row r="1586" spans="1:4" ht="28.5">
      <c r="A1586" s="78" t="s">
        <v>1715</v>
      </c>
      <c r="B1586" s="76">
        <v>58376</v>
      </c>
      <c r="C1586" s="81">
        <v>0</v>
      </c>
      <c r="D1586" s="82">
        <v>0</v>
      </c>
    </row>
    <row r="1587" spans="1:4">
      <c r="A1587" s="78" t="s">
        <v>1716</v>
      </c>
      <c r="B1587" s="76">
        <v>58384</v>
      </c>
      <c r="C1587" s="81">
        <v>0</v>
      </c>
      <c r="D1587" s="82">
        <v>0</v>
      </c>
    </row>
    <row r="1588" spans="1:4">
      <c r="A1588" s="78" t="s">
        <v>1717</v>
      </c>
      <c r="B1588" s="76">
        <v>58388</v>
      </c>
      <c r="C1588" s="81">
        <v>0</v>
      </c>
      <c r="D1588" s="82">
        <v>0</v>
      </c>
    </row>
    <row r="1589" spans="1:4">
      <c r="A1589" s="78" t="s">
        <v>1718</v>
      </c>
      <c r="B1589" s="76">
        <v>58389</v>
      </c>
      <c r="C1589" s="81">
        <v>0</v>
      </c>
      <c r="D1589" s="82">
        <v>0</v>
      </c>
    </row>
    <row r="1590" spans="1:4" ht="28.5">
      <c r="A1590" s="78" t="s">
        <v>1719</v>
      </c>
      <c r="B1590" s="76">
        <v>58392</v>
      </c>
      <c r="C1590" s="81">
        <v>0</v>
      </c>
      <c r="D1590" s="82">
        <v>0</v>
      </c>
    </row>
    <row r="1591" spans="1:4">
      <c r="A1591" s="78" t="s">
        <v>1720</v>
      </c>
      <c r="B1591" s="76">
        <v>58394</v>
      </c>
      <c r="C1591" s="81">
        <v>0</v>
      </c>
      <c r="D1591" s="82">
        <v>0</v>
      </c>
    </row>
    <row r="1592" spans="1:4">
      <c r="A1592" s="78" t="s">
        <v>1721</v>
      </c>
      <c r="B1592" s="76">
        <v>58395</v>
      </c>
      <c r="C1592" s="81">
        <v>0</v>
      </c>
      <c r="D1592" s="82">
        <v>0</v>
      </c>
    </row>
    <row r="1593" spans="1:4">
      <c r="A1593" s="78" t="s">
        <v>1722</v>
      </c>
      <c r="B1593" s="76">
        <v>58398</v>
      </c>
      <c r="C1593" s="81">
        <v>0</v>
      </c>
      <c r="D1593" s="82">
        <v>0</v>
      </c>
    </row>
    <row r="1594" spans="1:4" ht="28.5">
      <c r="A1594" s="78" t="s">
        <v>1723</v>
      </c>
      <c r="B1594" s="76">
        <v>58417</v>
      </c>
      <c r="C1594" s="81">
        <v>0</v>
      </c>
      <c r="D1594" s="82">
        <v>0</v>
      </c>
    </row>
    <row r="1595" spans="1:4" ht="28.5">
      <c r="A1595" s="78" t="s">
        <v>1724</v>
      </c>
      <c r="B1595" s="76">
        <v>58418</v>
      </c>
      <c r="C1595" s="81">
        <v>0</v>
      </c>
      <c r="D1595" s="82">
        <v>0</v>
      </c>
    </row>
    <row r="1596" spans="1:4" ht="28.5">
      <c r="A1596" s="78" t="s">
        <v>1725</v>
      </c>
      <c r="B1596" s="76">
        <v>58419</v>
      </c>
      <c r="C1596" s="81">
        <v>0</v>
      </c>
      <c r="D1596" s="82">
        <v>0</v>
      </c>
    </row>
    <row r="1597" spans="1:4" ht="28.5">
      <c r="A1597" s="78" t="s">
        <v>1726</v>
      </c>
      <c r="B1597" s="76">
        <v>58422</v>
      </c>
      <c r="C1597" s="81">
        <v>0</v>
      </c>
      <c r="D1597" s="82">
        <v>0</v>
      </c>
    </row>
    <row r="1598" spans="1:4" ht="28.5">
      <c r="A1598" s="78" t="s">
        <v>1727</v>
      </c>
      <c r="B1598" s="76">
        <v>58430</v>
      </c>
      <c r="C1598" s="81">
        <v>0</v>
      </c>
      <c r="D1598" s="82">
        <v>0</v>
      </c>
    </row>
    <row r="1599" spans="1:4">
      <c r="A1599" s="78" t="s">
        <v>1728</v>
      </c>
      <c r="B1599" s="76">
        <v>58441</v>
      </c>
      <c r="C1599" s="81">
        <v>0</v>
      </c>
      <c r="D1599" s="82">
        <v>0</v>
      </c>
    </row>
    <row r="1600" spans="1:4">
      <c r="A1600" s="78" t="s">
        <v>1729</v>
      </c>
      <c r="B1600" s="76">
        <v>58445</v>
      </c>
      <c r="C1600" s="81">
        <v>0</v>
      </c>
      <c r="D1600" s="82">
        <v>0</v>
      </c>
    </row>
    <row r="1601" spans="1:4">
      <c r="A1601" s="78" t="s">
        <v>1730</v>
      </c>
      <c r="B1601" s="76">
        <v>58446</v>
      </c>
      <c r="C1601" s="81">
        <v>0</v>
      </c>
      <c r="D1601" s="82">
        <v>0</v>
      </c>
    </row>
    <row r="1602" spans="1:4">
      <c r="A1602" s="78" t="s">
        <v>1731</v>
      </c>
      <c r="B1602" s="76">
        <v>58447</v>
      </c>
      <c r="C1602" s="81">
        <v>0</v>
      </c>
      <c r="D1602" s="82">
        <v>0</v>
      </c>
    </row>
    <row r="1603" spans="1:4">
      <c r="A1603" s="78" t="s">
        <v>1732</v>
      </c>
      <c r="B1603" s="76">
        <v>58448</v>
      </c>
      <c r="C1603" s="81">
        <v>0</v>
      </c>
      <c r="D1603" s="82">
        <v>0</v>
      </c>
    </row>
    <row r="1604" spans="1:4">
      <c r="A1604" s="78" t="s">
        <v>1733</v>
      </c>
      <c r="B1604" s="76">
        <v>58449</v>
      </c>
      <c r="C1604" s="81">
        <v>0</v>
      </c>
      <c r="D1604" s="82">
        <v>0</v>
      </c>
    </row>
    <row r="1605" spans="1:4">
      <c r="A1605" s="78" t="s">
        <v>1734</v>
      </c>
      <c r="B1605" s="76">
        <v>58450</v>
      </c>
      <c r="C1605" s="81">
        <v>0</v>
      </c>
      <c r="D1605" s="82">
        <v>0</v>
      </c>
    </row>
    <row r="1606" spans="1:4">
      <c r="A1606" s="78" t="s">
        <v>1735</v>
      </c>
      <c r="B1606" s="76">
        <v>58451</v>
      </c>
      <c r="C1606" s="81">
        <v>0</v>
      </c>
      <c r="D1606" s="82">
        <v>0</v>
      </c>
    </row>
    <row r="1607" spans="1:4">
      <c r="A1607" s="78" t="s">
        <v>1736</v>
      </c>
      <c r="B1607" s="76">
        <v>58452</v>
      </c>
      <c r="C1607" s="81">
        <v>0</v>
      </c>
      <c r="D1607" s="82">
        <v>0</v>
      </c>
    </row>
    <row r="1608" spans="1:4">
      <c r="A1608" s="78" t="s">
        <v>1737</v>
      </c>
      <c r="B1608" s="76">
        <v>58454</v>
      </c>
      <c r="C1608" s="81">
        <v>0</v>
      </c>
      <c r="D1608" s="82">
        <v>0</v>
      </c>
    </row>
    <row r="1609" spans="1:4" ht="42.75">
      <c r="A1609" s="78" t="s">
        <v>1738</v>
      </c>
      <c r="B1609" s="76">
        <v>58455</v>
      </c>
      <c r="C1609" s="81">
        <v>0</v>
      </c>
      <c r="D1609" s="82">
        <v>0</v>
      </c>
    </row>
    <row r="1610" spans="1:4" ht="42.75">
      <c r="A1610" s="78" t="s">
        <v>1739</v>
      </c>
      <c r="B1610" s="76">
        <v>58462</v>
      </c>
      <c r="C1610" s="81">
        <v>0</v>
      </c>
      <c r="D1610" s="82">
        <v>0</v>
      </c>
    </row>
    <row r="1611" spans="1:4" ht="28.5">
      <c r="A1611" s="78" t="s">
        <v>1740</v>
      </c>
      <c r="B1611" s="76">
        <v>58467</v>
      </c>
      <c r="C1611" s="81">
        <v>0</v>
      </c>
      <c r="D1611" s="82">
        <v>0</v>
      </c>
    </row>
    <row r="1612" spans="1:4">
      <c r="A1612" s="78" t="s">
        <v>1741</v>
      </c>
      <c r="B1612" s="76">
        <v>58470</v>
      </c>
      <c r="C1612" s="81">
        <v>0</v>
      </c>
      <c r="D1612" s="82">
        <v>0</v>
      </c>
    </row>
    <row r="1613" spans="1:4" ht="28.5">
      <c r="A1613" s="78" t="s">
        <v>1742</v>
      </c>
      <c r="B1613" s="76">
        <v>58477</v>
      </c>
      <c r="C1613" s="81">
        <v>0</v>
      </c>
      <c r="D1613" s="82">
        <v>0</v>
      </c>
    </row>
    <row r="1614" spans="1:4">
      <c r="A1614" s="78" t="s">
        <v>1743</v>
      </c>
      <c r="B1614" s="76">
        <v>58479</v>
      </c>
      <c r="C1614" s="81">
        <v>0</v>
      </c>
      <c r="D1614" s="82">
        <v>0</v>
      </c>
    </row>
    <row r="1615" spans="1:4">
      <c r="A1615" s="78" t="s">
        <v>1744</v>
      </c>
      <c r="B1615" s="76">
        <v>58481</v>
      </c>
      <c r="C1615" s="81">
        <v>0</v>
      </c>
      <c r="D1615" s="82">
        <v>0</v>
      </c>
    </row>
    <row r="1616" spans="1:4" ht="28.5">
      <c r="A1616" s="78" t="s">
        <v>1745</v>
      </c>
      <c r="B1616" s="76">
        <v>58486</v>
      </c>
      <c r="C1616" s="81">
        <v>0</v>
      </c>
      <c r="D1616" s="82">
        <v>0</v>
      </c>
    </row>
    <row r="1617" spans="1:4" ht="28.5">
      <c r="A1617" s="78" t="s">
        <v>1746</v>
      </c>
      <c r="B1617" s="76">
        <v>58489</v>
      </c>
      <c r="C1617" s="81">
        <v>0</v>
      </c>
      <c r="D1617" s="82">
        <v>0</v>
      </c>
    </row>
    <row r="1618" spans="1:4" ht="28.5">
      <c r="A1618" s="78" t="s">
        <v>1747</v>
      </c>
      <c r="B1618" s="76">
        <v>58490</v>
      </c>
      <c r="C1618" s="81">
        <v>0</v>
      </c>
      <c r="D1618" s="82">
        <v>0</v>
      </c>
    </row>
    <row r="1619" spans="1:4" ht="28.5">
      <c r="A1619" s="78" t="s">
        <v>1748</v>
      </c>
      <c r="B1619" s="76">
        <v>58498</v>
      </c>
      <c r="C1619" s="81">
        <v>0</v>
      </c>
      <c r="D1619" s="82">
        <v>0</v>
      </c>
    </row>
    <row r="1620" spans="1:4" ht="28.5">
      <c r="A1620" s="78" t="s">
        <v>1749</v>
      </c>
      <c r="B1620" s="76">
        <v>58499</v>
      </c>
      <c r="C1620" s="81">
        <v>0</v>
      </c>
      <c r="D1620" s="82">
        <v>0</v>
      </c>
    </row>
    <row r="1621" spans="1:4" ht="28.5">
      <c r="A1621" s="78" t="s">
        <v>1750</v>
      </c>
      <c r="B1621" s="76">
        <v>58500</v>
      </c>
      <c r="C1621" s="81">
        <v>0</v>
      </c>
      <c r="D1621" s="82">
        <v>0</v>
      </c>
    </row>
    <row r="1622" spans="1:4" ht="28.5">
      <c r="A1622" s="78" t="s">
        <v>1751</v>
      </c>
      <c r="B1622" s="76">
        <v>58502</v>
      </c>
      <c r="C1622" s="81">
        <v>0</v>
      </c>
      <c r="D1622" s="82">
        <v>0</v>
      </c>
    </row>
    <row r="1623" spans="1:4">
      <c r="A1623" s="78" t="s">
        <v>1752</v>
      </c>
      <c r="B1623" s="76">
        <v>58506</v>
      </c>
      <c r="C1623" s="81">
        <v>0</v>
      </c>
      <c r="D1623" s="82">
        <v>0</v>
      </c>
    </row>
    <row r="1624" spans="1:4" ht="28.5">
      <c r="A1624" s="78" t="s">
        <v>1753</v>
      </c>
      <c r="B1624" s="76">
        <v>58508</v>
      </c>
      <c r="C1624" s="81">
        <v>0</v>
      </c>
      <c r="D1624" s="82">
        <v>0</v>
      </c>
    </row>
    <row r="1625" spans="1:4">
      <c r="A1625" s="78" t="s">
        <v>1754</v>
      </c>
      <c r="B1625" s="76">
        <v>58509</v>
      </c>
      <c r="C1625" s="81">
        <v>0</v>
      </c>
      <c r="D1625" s="82">
        <v>0</v>
      </c>
    </row>
    <row r="1626" spans="1:4" ht="28.5">
      <c r="A1626" s="78" t="s">
        <v>1755</v>
      </c>
      <c r="B1626" s="76">
        <v>58510</v>
      </c>
      <c r="C1626" s="81">
        <v>0</v>
      </c>
      <c r="D1626" s="82">
        <v>0</v>
      </c>
    </row>
    <row r="1627" spans="1:4" ht="28.5">
      <c r="A1627" s="78" t="s">
        <v>1756</v>
      </c>
      <c r="B1627" s="76">
        <v>58513</v>
      </c>
      <c r="C1627" s="81">
        <v>0</v>
      </c>
      <c r="D1627" s="82">
        <v>0</v>
      </c>
    </row>
    <row r="1628" spans="1:4" ht="28.5">
      <c r="A1628" s="78" t="s">
        <v>1757</v>
      </c>
      <c r="B1628" s="76">
        <v>58514</v>
      </c>
      <c r="C1628" s="81">
        <v>0</v>
      </c>
      <c r="D1628" s="82">
        <v>0</v>
      </c>
    </row>
    <row r="1629" spans="1:4" ht="28.5">
      <c r="A1629" s="78" t="s">
        <v>1758</v>
      </c>
      <c r="B1629" s="76">
        <v>58516</v>
      </c>
      <c r="C1629" s="81">
        <v>0</v>
      </c>
      <c r="D1629" s="82">
        <v>0</v>
      </c>
    </row>
    <row r="1630" spans="1:4" ht="28.5">
      <c r="A1630" s="78" t="s">
        <v>1759</v>
      </c>
      <c r="B1630" s="76">
        <v>58517</v>
      </c>
      <c r="C1630" s="81">
        <v>0</v>
      </c>
      <c r="D1630" s="82">
        <v>0</v>
      </c>
    </row>
    <row r="1631" spans="1:4">
      <c r="A1631" s="78" t="s">
        <v>1760</v>
      </c>
      <c r="B1631" s="76">
        <v>58520</v>
      </c>
      <c r="C1631" s="81">
        <v>0</v>
      </c>
      <c r="D1631" s="82">
        <v>0</v>
      </c>
    </row>
    <row r="1632" spans="1:4">
      <c r="A1632" s="78" t="s">
        <v>1761</v>
      </c>
      <c r="B1632" s="76">
        <v>58521</v>
      </c>
      <c r="C1632" s="81">
        <v>0</v>
      </c>
      <c r="D1632" s="82">
        <v>0</v>
      </c>
    </row>
    <row r="1633" spans="1:4" ht="42.75">
      <c r="A1633" s="78" t="s">
        <v>1762</v>
      </c>
      <c r="B1633" s="76">
        <v>58522</v>
      </c>
      <c r="C1633" s="81">
        <v>0</v>
      </c>
      <c r="D1633" s="82">
        <v>0</v>
      </c>
    </row>
    <row r="1634" spans="1:4" ht="28.5">
      <c r="A1634" s="78" t="s">
        <v>1763</v>
      </c>
      <c r="B1634" s="76">
        <v>58525</v>
      </c>
      <c r="C1634" s="81">
        <v>0</v>
      </c>
      <c r="D1634" s="82">
        <v>0</v>
      </c>
    </row>
    <row r="1635" spans="1:4" ht="28.5">
      <c r="A1635" s="78" t="s">
        <v>1764</v>
      </c>
      <c r="B1635" s="76">
        <v>58527</v>
      </c>
      <c r="C1635" s="81">
        <v>0</v>
      </c>
      <c r="D1635" s="82">
        <v>0</v>
      </c>
    </row>
    <row r="1636" spans="1:4" ht="42.75">
      <c r="A1636" s="78" t="s">
        <v>1765</v>
      </c>
      <c r="B1636" s="76">
        <v>58528</v>
      </c>
      <c r="C1636" s="81">
        <v>0</v>
      </c>
      <c r="D1636" s="82">
        <v>0</v>
      </c>
    </row>
    <row r="1637" spans="1:4" ht="28.5">
      <c r="A1637" s="78" t="s">
        <v>1766</v>
      </c>
      <c r="B1637" s="76">
        <v>58539</v>
      </c>
      <c r="C1637" s="81">
        <v>0</v>
      </c>
      <c r="D1637" s="82">
        <v>0</v>
      </c>
    </row>
    <row r="1638" spans="1:4" ht="28.5">
      <c r="A1638" s="78" t="s">
        <v>1767</v>
      </c>
      <c r="B1638" s="76">
        <v>58540</v>
      </c>
      <c r="C1638" s="81">
        <v>0</v>
      </c>
      <c r="D1638" s="82">
        <v>0</v>
      </c>
    </row>
    <row r="1639" spans="1:4" ht="28.5">
      <c r="A1639" s="78" t="s">
        <v>1768</v>
      </c>
      <c r="B1639" s="76">
        <v>58542</v>
      </c>
      <c r="C1639" s="81">
        <v>0</v>
      </c>
      <c r="D1639" s="82">
        <v>0</v>
      </c>
    </row>
    <row r="1640" spans="1:4" ht="28.5">
      <c r="A1640" s="78" t="s">
        <v>1769</v>
      </c>
      <c r="B1640" s="76">
        <v>58543</v>
      </c>
      <c r="C1640" s="81">
        <v>0</v>
      </c>
      <c r="D1640" s="82">
        <v>0</v>
      </c>
    </row>
    <row r="1641" spans="1:4" ht="28.5">
      <c r="A1641" s="78" t="s">
        <v>1770</v>
      </c>
      <c r="B1641" s="76">
        <v>58544</v>
      </c>
      <c r="C1641" s="81">
        <v>0</v>
      </c>
      <c r="D1641" s="82">
        <v>0</v>
      </c>
    </row>
    <row r="1642" spans="1:4" ht="28.5">
      <c r="A1642" s="78" t="s">
        <v>1771</v>
      </c>
      <c r="B1642" s="76">
        <v>58545</v>
      </c>
      <c r="C1642" s="81">
        <v>0</v>
      </c>
      <c r="D1642" s="82">
        <v>0</v>
      </c>
    </row>
    <row r="1643" spans="1:4" ht="28.5">
      <c r="A1643" s="78" t="s">
        <v>1772</v>
      </c>
      <c r="B1643" s="76">
        <v>58547</v>
      </c>
      <c r="C1643" s="81">
        <v>0</v>
      </c>
      <c r="D1643" s="82">
        <v>0</v>
      </c>
    </row>
    <row r="1644" spans="1:4" ht="28.5">
      <c r="A1644" s="78" t="s">
        <v>1773</v>
      </c>
      <c r="B1644" s="76">
        <v>58548</v>
      </c>
      <c r="C1644" s="81">
        <v>0</v>
      </c>
      <c r="D1644" s="82">
        <v>0</v>
      </c>
    </row>
    <row r="1645" spans="1:4">
      <c r="A1645" s="78" t="s">
        <v>1774</v>
      </c>
      <c r="B1645" s="76">
        <v>58576</v>
      </c>
      <c r="C1645" s="81">
        <v>0</v>
      </c>
      <c r="D1645" s="82">
        <v>0</v>
      </c>
    </row>
    <row r="1646" spans="1:4">
      <c r="A1646" s="78" t="s">
        <v>1775</v>
      </c>
      <c r="B1646" s="76">
        <v>58578</v>
      </c>
      <c r="C1646" s="81">
        <v>0</v>
      </c>
      <c r="D1646" s="82">
        <v>0</v>
      </c>
    </row>
    <row r="1647" spans="1:4" ht="28.5">
      <c r="A1647" s="78" t="s">
        <v>1776</v>
      </c>
      <c r="B1647" s="76">
        <v>58581</v>
      </c>
      <c r="C1647" s="81">
        <v>0</v>
      </c>
      <c r="D1647" s="82">
        <v>0</v>
      </c>
    </row>
    <row r="1648" spans="1:4" ht="28.5">
      <c r="A1648" s="78" t="s">
        <v>1777</v>
      </c>
      <c r="B1648" s="76">
        <v>58582</v>
      </c>
      <c r="C1648" s="81">
        <v>0</v>
      </c>
      <c r="D1648" s="82">
        <v>0</v>
      </c>
    </row>
    <row r="1649" spans="1:4" ht="28.5">
      <c r="A1649" s="78" t="s">
        <v>1778</v>
      </c>
      <c r="B1649" s="76">
        <v>58585</v>
      </c>
      <c r="C1649" s="81">
        <v>0</v>
      </c>
      <c r="D1649" s="82">
        <v>0</v>
      </c>
    </row>
    <row r="1650" spans="1:4" ht="28.5">
      <c r="A1650" s="78" t="s">
        <v>1779</v>
      </c>
      <c r="B1650" s="76">
        <v>58588</v>
      </c>
      <c r="C1650" s="81">
        <v>0</v>
      </c>
      <c r="D1650" s="82">
        <v>0</v>
      </c>
    </row>
    <row r="1651" spans="1:4" ht="28.5">
      <c r="A1651" s="78" t="s">
        <v>1780</v>
      </c>
      <c r="B1651" s="76">
        <v>58589</v>
      </c>
      <c r="C1651" s="81">
        <v>0</v>
      </c>
      <c r="D1651" s="82">
        <v>0</v>
      </c>
    </row>
    <row r="1652" spans="1:4">
      <c r="A1652" s="78" t="s">
        <v>1781</v>
      </c>
      <c r="B1652" s="76">
        <v>58590</v>
      </c>
      <c r="C1652" s="81">
        <v>0</v>
      </c>
      <c r="D1652" s="82">
        <v>0</v>
      </c>
    </row>
    <row r="1653" spans="1:4" ht="28.5">
      <c r="A1653" s="78" t="s">
        <v>1782</v>
      </c>
      <c r="B1653" s="76">
        <v>58592</v>
      </c>
      <c r="C1653" s="81">
        <v>0</v>
      </c>
      <c r="D1653" s="82">
        <v>0</v>
      </c>
    </row>
    <row r="1654" spans="1:4">
      <c r="A1654" s="78" t="s">
        <v>1783</v>
      </c>
      <c r="B1654" s="76">
        <v>58598</v>
      </c>
      <c r="C1654" s="81">
        <v>0</v>
      </c>
      <c r="D1654" s="82">
        <v>0</v>
      </c>
    </row>
    <row r="1655" spans="1:4" ht="28.5">
      <c r="A1655" s="78" t="s">
        <v>1784</v>
      </c>
      <c r="B1655" s="76">
        <v>58599</v>
      </c>
      <c r="C1655" s="81">
        <v>0</v>
      </c>
      <c r="D1655" s="82">
        <v>0</v>
      </c>
    </row>
    <row r="1656" spans="1:4" ht="28.5">
      <c r="A1656" s="78" t="s">
        <v>1785</v>
      </c>
      <c r="B1656" s="76">
        <v>58600</v>
      </c>
      <c r="C1656" s="81">
        <v>0</v>
      </c>
      <c r="D1656" s="82">
        <v>0</v>
      </c>
    </row>
    <row r="1657" spans="1:4" ht="28.5">
      <c r="A1657" s="78" t="s">
        <v>1786</v>
      </c>
      <c r="B1657" s="76">
        <v>58601</v>
      </c>
      <c r="C1657" s="81">
        <v>0</v>
      </c>
      <c r="D1657" s="82">
        <v>0</v>
      </c>
    </row>
    <row r="1658" spans="1:4">
      <c r="A1658" s="78" t="s">
        <v>1787</v>
      </c>
      <c r="B1658" s="76">
        <v>58602</v>
      </c>
      <c r="C1658" s="81">
        <v>0</v>
      </c>
      <c r="D1658" s="82">
        <v>0</v>
      </c>
    </row>
    <row r="1659" spans="1:4" ht="28.5">
      <c r="A1659" s="78" t="s">
        <v>1788</v>
      </c>
      <c r="B1659" s="76">
        <v>58603</v>
      </c>
      <c r="C1659" s="81">
        <v>0</v>
      </c>
      <c r="D1659" s="82">
        <v>0</v>
      </c>
    </row>
    <row r="1660" spans="1:4" ht="28.5">
      <c r="A1660" s="78" t="s">
        <v>1789</v>
      </c>
      <c r="B1660" s="76">
        <v>58604</v>
      </c>
      <c r="C1660" s="81">
        <v>0</v>
      </c>
      <c r="D1660" s="82">
        <v>0</v>
      </c>
    </row>
    <row r="1661" spans="1:4" ht="42.75">
      <c r="A1661" s="78" t="s">
        <v>1790</v>
      </c>
      <c r="B1661" s="76">
        <v>58609</v>
      </c>
      <c r="C1661" s="81">
        <v>0</v>
      </c>
      <c r="D1661" s="82">
        <v>0</v>
      </c>
    </row>
    <row r="1662" spans="1:4" ht="42.75">
      <c r="A1662" s="78" t="s">
        <v>1791</v>
      </c>
      <c r="B1662" s="76">
        <v>58610</v>
      </c>
      <c r="C1662" s="81">
        <v>0</v>
      </c>
      <c r="D1662" s="82">
        <v>0</v>
      </c>
    </row>
    <row r="1663" spans="1:4" ht="42.75">
      <c r="A1663" s="78" t="s">
        <v>1792</v>
      </c>
      <c r="B1663" s="76">
        <v>58611</v>
      </c>
      <c r="C1663" s="81">
        <v>0</v>
      </c>
      <c r="D1663" s="82">
        <v>0</v>
      </c>
    </row>
    <row r="1664" spans="1:4" ht="42.75">
      <c r="A1664" s="78" t="s">
        <v>1793</v>
      </c>
      <c r="B1664" s="76">
        <v>58612</v>
      </c>
      <c r="C1664" s="81">
        <v>0</v>
      </c>
      <c r="D1664" s="82">
        <v>0</v>
      </c>
    </row>
    <row r="1665" spans="1:4" ht="28.5">
      <c r="A1665" s="78" t="s">
        <v>1794</v>
      </c>
      <c r="B1665" s="76">
        <v>58616</v>
      </c>
      <c r="C1665" s="81">
        <v>0</v>
      </c>
      <c r="D1665" s="82">
        <v>0</v>
      </c>
    </row>
    <row r="1666" spans="1:4" ht="28.5">
      <c r="A1666" s="78" t="s">
        <v>1795</v>
      </c>
      <c r="B1666" s="76">
        <v>58621</v>
      </c>
      <c r="C1666" s="81">
        <v>0</v>
      </c>
      <c r="D1666" s="82">
        <v>0</v>
      </c>
    </row>
    <row r="1667" spans="1:4">
      <c r="A1667" s="78" t="s">
        <v>1796</v>
      </c>
      <c r="B1667" s="76">
        <v>58622</v>
      </c>
      <c r="C1667" s="81">
        <v>0</v>
      </c>
      <c r="D1667" s="82">
        <v>0</v>
      </c>
    </row>
    <row r="1668" spans="1:4" ht="28.5">
      <c r="A1668" s="78" t="s">
        <v>1797</v>
      </c>
      <c r="B1668" s="76">
        <v>58626</v>
      </c>
      <c r="C1668" s="81">
        <v>0</v>
      </c>
      <c r="D1668" s="82">
        <v>0</v>
      </c>
    </row>
    <row r="1669" spans="1:4" ht="28.5">
      <c r="A1669" s="78" t="s">
        <v>1798</v>
      </c>
      <c r="B1669" s="76">
        <v>58627</v>
      </c>
      <c r="C1669" s="81">
        <v>0</v>
      </c>
      <c r="D1669" s="82">
        <v>0</v>
      </c>
    </row>
    <row r="1670" spans="1:4" ht="28.5">
      <c r="A1670" s="78" t="s">
        <v>1799</v>
      </c>
      <c r="B1670" s="76">
        <v>58632</v>
      </c>
      <c r="C1670" s="81">
        <v>0</v>
      </c>
      <c r="D1670" s="82">
        <v>0</v>
      </c>
    </row>
    <row r="1671" spans="1:4" ht="42.75">
      <c r="A1671" s="78" t="s">
        <v>1800</v>
      </c>
      <c r="B1671" s="76">
        <v>58633</v>
      </c>
      <c r="C1671" s="81">
        <v>0</v>
      </c>
      <c r="D1671" s="82">
        <v>0</v>
      </c>
    </row>
    <row r="1672" spans="1:4" ht="28.5">
      <c r="A1672" s="78" t="s">
        <v>1801</v>
      </c>
      <c r="B1672" s="76">
        <v>58634</v>
      </c>
      <c r="C1672" s="81">
        <v>0</v>
      </c>
      <c r="D1672" s="82">
        <v>0</v>
      </c>
    </row>
    <row r="1673" spans="1:4" ht="42.75">
      <c r="A1673" s="78" t="s">
        <v>1802</v>
      </c>
      <c r="B1673" s="76">
        <v>58636</v>
      </c>
      <c r="C1673" s="81">
        <v>0</v>
      </c>
      <c r="D1673" s="82">
        <v>0</v>
      </c>
    </row>
    <row r="1674" spans="1:4">
      <c r="A1674" s="78" t="s">
        <v>1803</v>
      </c>
      <c r="B1674" s="76">
        <v>58642</v>
      </c>
      <c r="C1674" s="81">
        <v>0</v>
      </c>
      <c r="D1674" s="82">
        <v>0</v>
      </c>
    </row>
    <row r="1675" spans="1:4">
      <c r="A1675" s="78" t="s">
        <v>1804</v>
      </c>
      <c r="B1675" s="76">
        <v>58646</v>
      </c>
      <c r="C1675" s="81">
        <v>0</v>
      </c>
      <c r="D1675" s="82">
        <v>0</v>
      </c>
    </row>
    <row r="1676" spans="1:4" ht="42.75">
      <c r="A1676" s="78" t="s">
        <v>1805</v>
      </c>
      <c r="B1676" s="76">
        <v>58660</v>
      </c>
      <c r="C1676" s="81">
        <v>0</v>
      </c>
      <c r="D1676" s="82">
        <v>0</v>
      </c>
    </row>
    <row r="1677" spans="1:4">
      <c r="A1677" s="78" t="s">
        <v>1806</v>
      </c>
      <c r="B1677" s="76">
        <v>58696</v>
      </c>
      <c r="C1677" s="81">
        <v>0</v>
      </c>
      <c r="D1677" s="82">
        <v>0</v>
      </c>
    </row>
    <row r="1678" spans="1:4">
      <c r="A1678" s="78" t="s">
        <v>1807</v>
      </c>
      <c r="B1678" s="76">
        <v>58698</v>
      </c>
      <c r="C1678" s="81">
        <v>0</v>
      </c>
      <c r="D1678" s="82">
        <v>0</v>
      </c>
    </row>
    <row r="1679" spans="1:4" ht="28.5">
      <c r="A1679" s="78" t="s">
        <v>1808</v>
      </c>
      <c r="B1679" s="76">
        <v>58708</v>
      </c>
      <c r="C1679" s="81">
        <v>0</v>
      </c>
      <c r="D1679" s="82">
        <v>0</v>
      </c>
    </row>
    <row r="1680" spans="1:4" ht="28.5">
      <c r="A1680" s="78" t="s">
        <v>1809</v>
      </c>
      <c r="B1680" s="76">
        <v>58709</v>
      </c>
      <c r="C1680" s="81">
        <v>0</v>
      </c>
      <c r="D1680" s="82">
        <v>0</v>
      </c>
    </row>
    <row r="1681" spans="1:4" ht="28.5">
      <c r="A1681" s="78" t="s">
        <v>1810</v>
      </c>
      <c r="B1681" s="76">
        <v>58711</v>
      </c>
      <c r="C1681" s="81">
        <v>0</v>
      </c>
      <c r="D1681" s="82">
        <v>0</v>
      </c>
    </row>
    <row r="1682" spans="1:4" ht="28.5">
      <c r="A1682" s="78" t="s">
        <v>1811</v>
      </c>
      <c r="B1682" s="76">
        <v>58712</v>
      </c>
      <c r="C1682" s="81">
        <v>0</v>
      </c>
      <c r="D1682" s="82">
        <v>0</v>
      </c>
    </row>
    <row r="1683" spans="1:4">
      <c r="A1683" s="78" t="s">
        <v>1812</v>
      </c>
      <c r="B1683" s="76">
        <v>58713</v>
      </c>
      <c r="C1683" s="81">
        <v>0</v>
      </c>
      <c r="D1683" s="82">
        <v>0</v>
      </c>
    </row>
    <row r="1684" spans="1:4">
      <c r="A1684" s="78" t="s">
        <v>1813</v>
      </c>
      <c r="B1684" s="76">
        <v>58718</v>
      </c>
      <c r="C1684" s="81">
        <v>0</v>
      </c>
      <c r="D1684" s="82">
        <v>0</v>
      </c>
    </row>
    <row r="1685" spans="1:4">
      <c r="A1685" s="78" t="s">
        <v>1814</v>
      </c>
      <c r="B1685" s="76">
        <v>58721</v>
      </c>
      <c r="C1685" s="81">
        <v>0</v>
      </c>
      <c r="D1685" s="82">
        <v>0</v>
      </c>
    </row>
    <row r="1686" spans="1:4">
      <c r="A1686" s="78" t="s">
        <v>1815</v>
      </c>
      <c r="B1686" s="76">
        <v>58748</v>
      </c>
      <c r="C1686" s="81">
        <v>0</v>
      </c>
      <c r="D1686" s="82">
        <v>0</v>
      </c>
    </row>
    <row r="1687" spans="1:4" ht="28.5">
      <c r="A1687" s="78" t="s">
        <v>1816</v>
      </c>
      <c r="B1687" s="76">
        <v>58750</v>
      </c>
      <c r="C1687" s="81">
        <v>0</v>
      </c>
      <c r="D1687" s="82">
        <v>0</v>
      </c>
    </row>
    <row r="1688" spans="1:4">
      <c r="A1688" s="78" t="s">
        <v>1817</v>
      </c>
      <c r="B1688" s="76">
        <v>58751</v>
      </c>
      <c r="C1688" s="81">
        <v>0</v>
      </c>
      <c r="D1688" s="82">
        <v>0</v>
      </c>
    </row>
    <row r="1689" spans="1:4">
      <c r="A1689" s="78" t="s">
        <v>1818</v>
      </c>
      <c r="B1689" s="76">
        <v>58752</v>
      </c>
      <c r="C1689" s="81">
        <v>0</v>
      </c>
      <c r="D1689" s="82">
        <v>0</v>
      </c>
    </row>
    <row r="1690" spans="1:4">
      <c r="A1690" s="78" t="s">
        <v>1819</v>
      </c>
      <c r="B1690" s="76">
        <v>58753</v>
      </c>
      <c r="C1690" s="81">
        <v>0</v>
      </c>
      <c r="D1690" s="82">
        <v>0</v>
      </c>
    </row>
    <row r="1691" spans="1:4">
      <c r="A1691" s="78" t="s">
        <v>1820</v>
      </c>
      <c r="B1691" s="76">
        <v>58754</v>
      </c>
      <c r="C1691" s="81">
        <v>0</v>
      </c>
      <c r="D1691" s="82">
        <v>0</v>
      </c>
    </row>
    <row r="1692" spans="1:4">
      <c r="A1692" s="78" t="s">
        <v>1821</v>
      </c>
      <c r="B1692" s="76">
        <v>58755</v>
      </c>
      <c r="C1692" s="81">
        <v>0</v>
      </c>
      <c r="D1692" s="82">
        <v>0</v>
      </c>
    </row>
    <row r="1693" spans="1:4">
      <c r="A1693" s="78" t="s">
        <v>1822</v>
      </c>
      <c r="B1693" s="76">
        <v>58756</v>
      </c>
      <c r="C1693" s="81">
        <v>0</v>
      </c>
      <c r="D1693" s="82">
        <v>0</v>
      </c>
    </row>
    <row r="1694" spans="1:4" ht="28.5">
      <c r="A1694" s="78" t="s">
        <v>1823</v>
      </c>
      <c r="B1694" s="76">
        <v>58757</v>
      </c>
      <c r="C1694" s="81">
        <v>0</v>
      </c>
      <c r="D1694" s="82">
        <v>0</v>
      </c>
    </row>
    <row r="1695" spans="1:4" ht="28.5">
      <c r="A1695" s="78" t="s">
        <v>1824</v>
      </c>
      <c r="B1695" s="76">
        <v>58761</v>
      </c>
      <c r="C1695" s="81">
        <v>0</v>
      </c>
      <c r="D1695" s="82">
        <v>0</v>
      </c>
    </row>
    <row r="1696" spans="1:4" ht="28.5">
      <c r="A1696" s="78" t="s">
        <v>1825</v>
      </c>
      <c r="B1696" s="76">
        <v>58762</v>
      </c>
      <c r="C1696" s="81">
        <v>0</v>
      </c>
      <c r="D1696" s="82">
        <v>0</v>
      </c>
    </row>
    <row r="1697" spans="1:4" ht="28.5">
      <c r="A1697" s="78" t="s">
        <v>1826</v>
      </c>
      <c r="B1697" s="76">
        <v>58763</v>
      </c>
      <c r="C1697" s="81">
        <v>0</v>
      </c>
      <c r="D1697" s="82">
        <v>0</v>
      </c>
    </row>
    <row r="1698" spans="1:4" ht="42.75">
      <c r="A1698" s="78" t="s">
        <v>1827</v>
      </c>
      <c r="B1698" s="76">
        <v>58769</v>
      </c>
      <c r="C1698" s="81">
        <v>0</v>
      </c>
      <c r="D1698" s="82">
        <v>0</v>
      </c>
    </row>
    <row r="1699" spans="1:4" ht="28.5">
      <c r="A1699" s="78" t="s">
        <v>1828</v>
      </c>
      <c r="B1699" s="76">
        <v>58783</v>
      </c>
      <c r="C1699" s="81">
        <v>0</v>
      </c>
      <c r="D1699" s="82">
        <v>0</v>
      </c>
    </row>
    <row r="1700" spans="1:4" ht="28.5">
      <c r="A1700" s="78" t="s">
        <v>1829</v>
      </c>
      <c r="B1700" s="76">
        <v>58784</v>
      </c>
      <c r="C1700" s="81">
        <v>0</v>
      </c>
      <c r="D1700" s="82">
        <v>0</v>
      </c>
    </row>
    <row r="1701" spans="1:4" ht="28.5">
      <c r="A1701" s="78" t="s">
        <v>1830</v>
      </c>
      <c r="B1701" s="76">
        <v>58794</v>
      </c>
      <c r="C1701" s="81">
        <v>0</v>
      </c>
      <c r="D1701" s="82">
        <v>0</v>
      </c>
    </row>
    <row r="1702" spans="1:4" ht="28.5">
      <c r="A1702" s="78" t="s">
        <v>1831</v>
      </c>
      <c r="B1702" s="76">
        <v>58814</v>
      </c>
      <c r="C1702" s="81">
        <v>0</v>
      </c>
      <c r="D1702" s="82">
        <v>0</v>
      </c>
    </row>
    <row r="1703" spans="1:4" ht="28.5">
      <c r="A1703" s="78" t="s">
        <v>1832</v>
      </c>
      <c r="B1703" s="76">
        <v>58831</v>
      </c>
      <c r="C1703" s="81">
        <v>0</v>
      </c>
      <c r="D1703" s="82">
        <v>0</v>
      </c>
    </row>
    <row r="1704" spans="1:4">
      <c r="A1704" s="78" t="s">
        <v>1833</v>
      </c>
      <c r="B1704" s="76">
        <v>58832</v>
      </c>
      <c r="C1704" s="81">
        <v>0</v>
      </c>
      <c r="D1704" s="82">
        <v>0</v>
      </c>
    </row>
    <row r="1705" spans="1:4">
      <c r="A1705" s="78" t="s">
        <v>1834</v>
      </c>
      <c r="B1705" s="76">
        <v>58833</v>
      </c>
      <c r="C1705" s="81">
        <v>0</v>
      </c>
      <c r="D1705" s="82">
        <v>0</v>
      </c>
    </row>
    <row r="1706" spans="1:4" ht="28.5">
      <c r="A1706" s="78" t="s">
        <v>1835</v>
      </c>
      <c r="B1706" s="76">
        <v>58842</v>
      </c>
      <c r="C1706" s="81">
        <v>0</v>
      </c>
      <c r="D1706" s="82">
        <v>0</v>
      </c>
    </row>
    <row r="1707" spans="1:4">
      <c r="A1707" s="78" t="s">
        <v>1836</v>
      </c>
      <c r="B1707" s="76">
        <v>58889</v>
      </c>
      <c r="C1707" s="81">
        <v>0</v>
      </c>
      <c r="D1707" s="82">
        <v>0</v>
      </c>
    </row>
    <row r="1708" spans="1:4">
      <c r="A1708" s="78" t="s">
        <v>1837</v>
      </c>
      <c r="B1708" s="76">
        <v>58890</v>
      </c>
      <c r="C1708" s="81">
        <v>0</v>
      </c>
      <c r="D1708" s="82">
        <v>0</v>
      </c>
    </row>
    <row r="1709" spans="1:4" ht="42.75">
      <c r="A1709" s="78" t="s">
        <v>1838</v>
      </c>
      <c r="B1709" s="76">
        <v>58899</v>
      </c>
      <c r="C1709" s="81">
        <v>0</v>
      </c>
      <c r="D1709" s="82">
        <v>0</v>
      </c>
    </row>
    <row r="1710" spans="1:4" ht="42.75">
      <c r="A1710" s="78" t="s">
        <v>1839</v>
      </c>
      <c r="B1710" s="76">
        <v>58901</v>
      </c>
      <c r="C1710" s="81">
        <v>0</v>
      </c>
      <c r="D1710" s="82">
        <v>0</v>
      </c>
    </row>
    <row r="1711" spans="1:4">
      <c r="A1711" s="78" t="s">
        <v>1840</v>
      </c>
      <c r="B1711" s="76">
        <v>58906</v>
      </c>
      <c r="C1711" s="81">
        <v>0</v>
      </c>
      <c r="D1711" s="82">
        <v>0</v>
      </c>
    </row>
    <row r="1712" spans="1:4">
      <c r="A1712" s="78" t="s">
        <v>1841</v>
      </c>
      <c r="B1712" s="76">
        <v>58907</v>
      </c>
      <c r="C1712" s="81">
        <v>0</v>
      </c>
      <c r="D1712" s="82">
        <v>0</v>
      </c>
    </row>
    <row r="1713" spans="1:4">
      <c r="A1713" s="78" t="s">
        <v>1842</v>
      </c>
      <c r="B1713" s="76">
        <v>58909</v>
      </c>
      <c r="C1713" s="81">
        <v>0</v>
      </c>
      <c r="D1713" s="82">
        <v>0</v>
      </c>
    </row>
    <row r="1714" spans="1:4">
      <c r="A1714" s="78" t="s">
        <v>1843</v>
      </c>
      <c r="B1714" s="76">
        <v>58911</v>
      </c>
      <c r="C1714" s="81">
        <v>0</v>
      </c>
      <c r="D1714" s="82">
        <v>0</v>
      </c>
    </row>
    <row r="1715" spans="1:4" ht="42.75">
      <c r="A1715" s="78" t="s">
        <v>1844</v>
      </c>
      <c r="B1715" s="76">
        <v>58912</v>
      </c>
      <c r="C1715" s="81">
        <v>0</v>
      </c>
      <c r="D1715" s="82">
        <v>0</v>
      </c>
    </row>
    <row r="1716" spans="1:4" ht="42.75">
      <c r="A1716" s="78" t="s">
        <v>1845</v>
      </c>
      <c r="B1716" s="76">
        <v>58913</v>
      </c>
      <c r="C1716" s="81">
        <v>0</v>
      </c>
      <c r="D1716" s="82">
        <v>0</v>
      </c>
    </row>
    <row r="1717" spans="1:4" ht="28.5">
      <c r="A1717" s="78" t="s">
        <v>1846</v>
      </c>
      <c r="B1717" s="76">
        <v>58918</v>
      </c>
      <c r="C1717" s="81">
        <v>0</v>
      </c>
      <c r="D1717" s="82">
        <v>0</v>
      </c>
    </row>
    <row r="1718" spans="1:4" ht="28.5">
      <c r="A1718" s="78" t="s">
        <v>1847</v>
      </c>
      <c r="B1718" s="76">
        <v>58919</v>
      </c>
      <c r="C1718" s="81">
        <v>0</v>
      </c>
      <c r="D1718" s="82">
        <v>0</v>
      </c>
    </row>
    <row r="1719" spans="1:4" ht="28.5">
      <c r="A1719" s="78" t="s">
        <v>1848</v>
      </c>
      <c r="B1719" s="76">
        <v>58920</v>
      </c>
      <c r="C1719" s="81">
        <v>0</v>
      </c>
      <c r="D1719" s="82">
        <v>0</v>
      </c>
    </row>
    <row r="1720" spans="1:4">
      <c r="A1720" s="78" t="s">
        <v>1849</v>
      </c>
      <c r="B1720" s="76">
        <v>58949</v>
      </c>
      <c r="C1720" s="81">
        <v>0</v>
      </c>
      <c r="D1720" s="82">
        <v>0</v>
      </c>
    </row>
    <row r="1721" spans="1:4" ht="28.5">
      <c r="A1721" s="78" t="s">
        <v>1850</v>
      </c>
      <c r="B1721" s="76">
        <v>58954</v>
      </c>
      <c r="C1721" s="81">
        <v>0</v>
      </c>
      <c r="D1721" s="82">
        <v>0</v>
      </c>
    </row>
    <row r="1722" spans="1:4" ht="42.75">
      <c r="A1722" s="78" t="s">
        <v>1851</v>
      </c>
      <c r="B1722" s="76">
        <v>58961</v>
      </c>
      <c r="C1722" s="81">
        <v>0</v>
      </c>
      <c r="D1722" s="82">
        <v>0</v>
      </c>
    </row>
    <row r="1723" spans="1:4" ht="42.75">
      <c r="A1723" s="78" t="s">
        <v>1852</v>
      </c>
      <c r="B1723" s="76">
        <v>58963</v>
      </c>
      <c r="C1723" s="81">
        <v>0</v>
      </c>
      <c r="D1723" s="82">
        <v>0</v>
      </c>
    </row>
    <row r="1724" spans="1:4">
      <c r="A1724" s="78" t="s">
        <v>1853</v>
      </c>
      <c r="B1724" s="76">
        <v>58966</v>
      </c>
      <c r="C1724" s="81">
        <v>0</v>
      </c>
      <c r="D1724" s="82">
        <v>0</v>
      </c>
    </row>
    <row r="1725" spans="1:4" ht="28.5">
      <c r="A1725" s="78" t="s">
        <v>1854</v>
      </c>
      <c r="B1725" s="76">
        <v>58972</v>
      </c>
      <c r="C1725" s="81">
        <v>0</v>
      </c>
      <c r="D1725" s="82">
        <v>0</v>
      </c>
    </row>
    <row r="1726" spans="1:4" ht="28.5">
      <c r="A1726" s="78" t="s">
        <v>1855</v>
      </c>
      <c r="B1726" s="76">
        <v>58973</v>
      </c>
      <c r="C1726" s="81">
        <v>0</v>
      </c>
      <c r="D1726" s="82">
        <v>0</v>
      </c>
    </row>
    <row r="1727" spans="1:4" ht="28.5">
      <c r="A1727" s="78" t="s">
        <v>1856</v>
      </c>
      <c r="B1727" s="76">
        <v>58975</v>
      </c>
      <c r="C1727" s="81">
        <v>0</v>
      </c>
      <c r="D1727" s="82">
        <v>0</v>
      </c>
    </row>
    <row r="1728" spans="1:4">
      <c r="A1728" s="78" t="s">
        <v>1857</v>
      </c>
      <c r="B1728" s="76">
        <v>58983</v>
      </c>
      <c r="C1728" s="81">
        <v>0</v>
      </c>
      <c r="D1728" s="82">
        <v>0</v>
      </c>
    </row>
    <row r="1729" spans="1:4" ht="28.5">
      <c r="A1729" s="78" t="s">
        <v>1858</v>
      </c>
      <c r="B1729" s="76">
        <v>58984</v>
      </c>
      <c r="C1729" s="81">
        <v>0</v>
      </c>
      <c r="D1729" s="82">
        <v>0</v>
      </c>
    </row>
    <row r="1730" spans="1:4" ht="28.5">
      <c r="A1730" s="78" t="s">
        <v>1859</v>
      </c>
      <c r="B1730" s="76">
        <v>58985</v>
      </c>
      <c r="C1730" s="81">
        <v>0</v>
      </c>
      <c r="D1730" s="82">
        <v>0</v>
      </c>
    </row>
    <row r="1731" spans="1:4" ht="28.5">
      <c r="A1731" s="78" t="s">
        <v>1860</v>
      </c>
      <c r="B1731" s="76">
        <v>58986</v>
      </c>
      <c r="C1731" s="81">
        <v>0</v>
      </c>
      <c r="D1731" s="82">
        <v>0</v>
      </c>
    </row>
    <row r="1732" spans="1:4" ht="28.5">
      <c r="A1732" s="78" t="s">
        <v>1861</v>
      </c>
      <c r="B1732" s="76">
        <v>58990</v>
      </c>
      <c r="C1732" s="81">
        <v>0</v>
      </c>
      <c r="D1732" s="82">
        <v>0</v>
      </c>
    </row>
    <row r="1733" spans="1:4" ht="28.5">
      <c r="A1733" s="78" t="s">
        <v>1862</v>
      </c>
      <c r="B1733" s="76">
        <v>58991</v>
      </c>
      <c r="C1733" s="81">
        <v>0</v>
      </c>
      <c r="D1733" s="82">
        <v>0</v>
      </c>
    </row>
    <row r="1734" spans="1:4" ht="28.5">
      <c r="A1734" s="78" t="s">
        <v>1863</v>
      </c>
      <c r="B1734" s="76">
        <v>59003</v>
      </c>
      <c r="C1734" s="81">
        <v>0</v>
      </c>
      <c r="D1734" s="82">
        <v>0</v>
      </c>
    </row>
    <row r="1735" spans="1:4" ht="28.5">
      <c r="A1735" s="78" t="s">
        <v>1864</v>
      </c>
      <c r="B1735" s="76">
        <v>59008</v>
      </c>
      <c r="C1735" s="81">
        <v>0</v>
      </c>
      <c r="D1735" s="82">
        <v>0</v>
      </c>
    </row>
    <row r="1736" spans="1:4">
      <c r="A1736" s="78" t="s">
        <v>1865</v>
      </c>
      <c r="B1736" s="76">
        <v>59009</v>
      </c>
      <c r="C1736" s="81">
        <v>0</v>
      </c>
      <c r="D1736" s="82">
        <v>0</v>
      </c>
    </row>
    <row r="1737" spans="1:4">
      <c r="A1737" s="78" t="s">
        <v>1866</v>
      </c>
      <c r="B1737" s="76">
        <v>59044</v>
      </c>
      <c r="C1737" s="81">
        <v>0</v>
      </c>
      <c r="D1737" s="82">
        <v>0</v>
      </c>
    </row>
    <row r="1738" spans="1:4">
      <c r="A1738" s="78" t="s">
        <v>1867</v>
      </c>
      <c r="B1738" s="76">
        <v>59058</v>
      </c>
      <c r="C1738" s="81">
        <v>0</v>
      </c>
      <c r="D1738" s="82">
        <v>0</v>
      </c>
    </row>
    <row r="1739" spans="1:4">
      <c r="A1739" s="78" t="s">
        <v>1868</v>
      </c>
      <c r="B1739" s="76">
        <v>59076</v>
      </c>
      <c r="C1739" s="81">
        <v>0</v>
      </c>
      <c r="D1739" s="82">
        <v>0</v>
      </c>
    </row>
    <row r="1740" spans="1:4" ht="28.5">
      <c r="A1740" s="78" t="s">
        <v>1869</v>
      </c>
      <c r="B1740" s="76">
        <v>59083</v>
      </c>
      <c r="C1740" s="81">
        <v>0</v>
      </c>
      <c r="D1740" s="82">
        <v>0</v>
      </c>
    </row>
    <row r="1741" spans="1:4" ht="28.5">
      <c r="A1741" s="78" t="s">
        <v>1870</v>
      </c>
      <c r="B1741" s="76">
        <v>59086</v>
      </c>
      <c r="C1741" s="81">
        <v>0</v>
      </c>
      <c r="D1741" s="82">
        <v>0</v>
      </c>
    </row>
    <row r="1742" spans="1:4" ht="42.75">
      <c r="A1742" s="78" t="s">
        <v>1871</v>
      </c>
      <c r="B1742" s="76">
        <v>59087</v>
      </c>
      <c r="C1742" s="81">
        <v>0</v>
      </c>
      <c r="D1742" s="82">
        <v>0</v>
      </c>
    </row>
    <row r="1743" spans="1:4" ht="28.5">
      <c r="A1743" s="78" t="s">
        <v>1872</v>
      </c>
      <c r="B1743" s="76">
        <v>59088</v>
      </c>
      <c r="C1743" s="81">
        <v>0</v>
      </c>
      <c r="D1743" s="82">
        <v>0</v>
      </c>
    </row>
    <row r="1744" spans="1:4">
      <c r="A1744" s="78" t="s">
        <v>1873</v>
      </c>
      <c r="B1744" s="76">
        <v>59094</v>
      </c>
      <c r="C1744" s="81">
        <v>0</v>
      </c>
      <c r="D1744" s="82">
        <v>0</v>
      </c>
    </row>
    <row r="1745" spans="1:4">
      <c r="A1745" s="78" t="s">
        <v>1874</v>
      </c>
      <c r="B1745" s="76">
        <v>59095</v>
      </c>
      <c r="C1745" s="81">
        <v>0</v>
      </c>
      <c r="D1745" s="82">
        <v>0</v>
      </c>
    </row>
    <row r="1746" spans="1:4">
      <c r="A1746" s="78" t="s">
        <v>1875</v>
      </c>
      <c r="B1746" s="76">
        <v>59096</v>
      </c>
      <c r="C1746" s="81">
        <v>0</v>
      </c>
      <c r="D1746" s="82">
        <v>0</v>
      </c>
    </row>
    <row r="1747" spans="1:4">
      <c r="A1747" s="78" t="s">
        <v>1876</v>
      </c>
      <c r="B1747" s="76">
        <v>59098</v>
      </c>
      <c r="C1747" s="81">
        <v>0</v>
      </c>
      <c r="D1747" s="82">
        <v>0</v>
      </c>
    </row>
    <row r="1748" spans="1:4">
      <c r="A1748" s="78" t="s">
        <v>1877</v>
      </c>
      <c r="B1748" s="76">
        <v>59099</v>
      </c>
      <c r="C1748" s="81">
        <v>0</v>
      </c>
      <c r="D1748" s="82">
        <v>0</v>
      </c>
    </row>
    <row r="1749" spans="1:4" ht="28.5">
      <c r="A1749" s="78" t="s">
        <v>1878</v>
      </c>
      <c r="B1749" s="76">
        <v>59122</v>
      </c>
      <c r="C1749" s="81">
        <v>0</v>
      </c>
      <c r="D1749" s="82">
        <v>0</v>
      </c>
    </row>
    <row r="1750" spans="1:4" ht="28.5">
      <c r="A1750" s="78" t="s">
        <v>1879</v>
      </c>
      <c r="B1750" s="76">
        <v>59129</v>
      </c>
      <c r="C1750" s="81">
        <v>0</v>
      </c>
      <c r="D1750" s="82">
        <v>0</v>
      </c>
    </row>
    <row r="1751" spans="1:4" ht="28.5">
      <c r="A1751" s="78" t="s">
        <v>1880</v>
      </c>
      <c r="B1751" s="76">
        <v>59130</v>
      </c>
      <c r="C1751" s="81">
        <v>0</v>
      </c>
      <c r="D1751" s="82">
        <v>0</v>
      </c>
    </row>
    <row r="1752" spans="1:4" ht="28.5">
      <c r="A1752" s="78" t="s">
        <v>1881</v>
      </c>
      <c r="B1752" s="76">
        <v>59132</v>
      </c>
      <c r="C1752" s="81">
        <v>0</v>
      </c>
      <c r="D1752" s="82">
        <v>0</v>
      </c>
    </row>
    <row r="1753" spans="1:4" ht="28.5">
      <c r="A1753" s="78" t="s">
        <v>1882</v>
      </c>
      <c r="B1753" s="76">
        <v>59133</v>
      </c>
      <c r="C1753" s="81">
        <v>0</v>
      </c>
      <c r="D1753" s="82">
        <v>0</v>
      </c>
    </row>
    <row r="1754" spans="1:4">
      <c r="A1754" s="78" t="s">
        <v>1883</v>
      </c>
      <c r="B1754" s="76">
        <v>59138</v>
      </c>
      <c r="C1754" s="81">
        <v>0</v>
      </c>
      <c r="D1754" s="82">
        <v>0</v>
      </c>
    </row>
    <row r="1755" spans="1:4" ht="28.5">
      <c r="A1755" s="78" t="s">
        <v>1884</v>
      </c>
      <c r="B1755" s="76">
        <v>59139</v>
      </c>
      <c r="C1755" s="81">
        <v>0</v>
      </c>
      <c r="D1755" s="82">
        <v>0</v>
      </c>
    </row>
    <row r="1756" spans="1:4" ht="28.5">
      <c r="A1756" s="78" t="s">
        <v>1885</v>
      </c>
      <c r="B1756" s="76">
        <v>59144</v>
      </c>
      <c r="C1756" s="81">
        <v>0</v>
      </c>
      <c r="D1756" s="82">
        <v>0</v>
      </c>
    </row>
    <row r="1757" spans="1:4">
      <c r="A1757" s="78" t="s">
        <v>1886</v>
      </c>
      <c r="B1757" s="76">
        <v>59150</v>
      </c>
      <c r="C1757" s="81">
        <v>0</v>
      </c>
      <c r="D1757" s="82">
        <v>0</v>
      </c>
    </row>
    <row r="1758" spans="1:4">
      <c r="A1758" s="78" t="s">
        <v>1887</v>
      </c>
      <c r="B1758" s="76">
        <v>59167</v>
      </c>
      <c r="C1758" s="81">
        <v>0</v>
      </c>
      <c r="D1758" s="82">
        <v>0</v>
      </c>
    </row>
    <row r="1759" spans="1:4">
      <c r="A1759" s="78" t="s">
        <v>1888</v>
      </c>
      <c r="B1759" s="76">
        <v>59168</v>
      </c>
      <c r="C1759" s="81">
        <v>0</v>
      </c>
      <c r="D1759" s="82">
        <v>0</v>
      </c>
    </row>
    <row r="1760" spans="1:4">
      <c r="A1760" s="78" t="s">
        <v>1889</v>
      </c>
      <c r="B1760" s="76">
        <v>59169</v>
      </c>
      <c r="C1760" s="81">
        <v>0</v>
      </c>
      <c r="D1760" s="82">
        <v>0</v>
      </c>
    </row>
    <row r="1761" spans="1:4">
      <c r="A1761" s="78" t="s">
        <v>1890</v>
      </c>
      <c r="B1761" s="76">
        <v>59182</v>
      </c>
      <c r="C1761" s="81">
        <v>0</v>
      </c>
      <c r="D1761" s="82">
        <v>0</v>
      </c>
    </row>
    <row r="1762" spans="1:4">
      <c r="A1762" s="78" t="s">
        <v>1891</v>
      </c>
      <c r="B1762" s="76">
        <v>59183</v>
      </c>
      <c r="C1762" s="81">
        <v>0</v>
      </c>
      <c r="D1762" s="82">
        <v>0</v>
      </c>
    </row>
    <row r="1763" spans="1:4">
      <c r="A1763" s="78" t="s">
        <v>1892</v>
      </c>
      <c r="B1763" s="76">
        <v>59198</v>
      </c>
      <c r="C1763" s="81">
        <v>0</v>
      </c>
      <c r="D1763" s="82">
        <v>0</v>
      </c>
    </row>
    <row r="1764" spans="1:4">
      <c r="A1764" s="78" t="s">
        <v>1893</v>
      </c>
      <c r="B1764" s="76">
        <v>59199</v>
      </c>
      <c r="C1764" s="81">
        <v>0</v>
      </c>
      <c r="D1764" s="82">
        <v>0</v>
      </c>
    </row>
    <row r="1765" spans="1:4">
      <c r="A1765" s="78" t="s">
        <v>1894</v>
      </c>
      <c r="B1765" s="76">
        <v>59203</v>
      </c>
      <c r="C1765" s="81">
        <v>0</v>
      </c>
      <c r="D1765" s="82">
        <v>0</v>
      </c>
    </row>
    <row r="1766" spans="1:4">
      <c r="A1766" s="78" t="s">
        <v>1895</v>
      </c>
      <c r="B1766" s="76">
        <v>59219</v>
      </c>
      <c r="C1766" s="81">
        <v>0</v>
      </c>
      <c r="D1766" s="82">
        <v>0</v>
      </c>
    </row>
    <row r="1767" spans="1:4" ht="28.5">
      <c r="A1767" s="78" t="s">
        <v>1896</v>
      </c>
      <c r="B1767" s="76">
        <v>59235</v>
      </c>
      <c r="C1767" s="81">
        <v>0</v>
      </c>
      <c r="D1767" s="82">
        <v>0</v>
      </c>
    </row>
    <row r="1768" spans="1:4" ht="28.5">
      <c r="A1768" s="78" t="s">
        <v>1897</v>
      </c>
      <c r="B1768" s="76">
        <v>59236</v>
      </c>
      <c r="C1768" s="81">
        <v>0</v>
      </c>
      <c r="D1768" s="82">
        <v>0</v>
      </c>
    </row>
    <row r="1769" spans="1:4" ht="28.5">
      <c r="A1769" s="78" t="s">
        <v>1898</v>
      </c>
      <c r="B1769" s="76">
        <v>59237</v>
      </c>
      <c r="C1769" s="81">
        <v>0</v>
      </c>
      <c r="D1769" s="82">
        <v>0</v>
      </c>
    </row>
    <row r="1770" spans="1:4" ht="28.5">
      <c r="A1770" s="78" t="s">
        <v>1899</v>
      </c>
      <c r="B1770" s="76">
        <v>59239</v>
      </c>
      <c r="C1770" s="81">
        <v>0</v>
      </c>
      <c r="D1770" s="82">
        <v>0</v>
      </c>
    </row>
    <row r="1771" spans="1:4" ht="28.5">
      <c r="A1771" s="78" t="s">
        <v>1900</v>
      </c>
      <c r="B1771" s="76">
        <v>59249</v>
      </c>
      <c r="C1771" s="81">
        <v>0</v>
      </c>
      <c r="D1771" s="82">
        <v>0</v>
      </c>
    </row>
    <row r="1772" spans="1:4" ht="28.5">
      <c r="A1772" s="78" t="s">
        <v>1901</v>
      </c>
      <c r="B1772" s="76">
        <v>59250</v>
      </c>
      <c r="C1772" s="81">
        <v>0</v>
      </c>
      <c r="D1772" s="82">
        <v>0</v>
      </c>
    </row>
    <row r="1773" spans="1:4">
      <c r="A1773" s="78" t="s">
        <v>1902</v>
      </c>
      <c r="B1773" s="76">
        <v>59253</v>
      </c>
      <c r="C1773" s="81">
        <v>0</v>
      </c>
      <c r="D1773" s="82">
        <v>0</v>
      </c>
    </row>
    <row r="1774" spans="1:4" ht="28.5">
      <c r="A1774" s="78" t="s">
        <v>1903</v>
      </c>
      <c r="B1774" s="76">
        <v>59262</v>
      </c>
      <c r="C1774" s="81">
        <v>0</v>
      </c>
      <c r="D1774" s="82">
        <v>0</v>
      </c>
    </row>
    <row r="1775" spans="1:4">
      <c r="A1775" s="78" t="s">
        <v>1904</v>
      </c>
      <c r="B1775" s="76">
        <v>59265</v>
      </c>
      <c r="C1775" s="81">
        <v>0</v>
      </c>
      <c r="D1775" s="82">
        <v>0</v>
      </c>
    </row>
    <row r="1776" spans="1:4">
      <c r="A1776" s="78" t="s">
        <v>1905</v>
      </c>
      <c r="B1776" s="76">
        <v>59267</v>
      </c>
      <c r="C1776" s="81">
        <v>0</v>
      </c>
      <c r="D1776" s="82">
        <v>0</v>
      </c>
    </row>
    <row r="1777" spans="1:4">
      <c r="A1777" s="78" t="s">
        <v>1906</v>
      </c>
      <c r="B1777" s="76">
        <v>59268</v>
      </c>
      <c r="C1777" s="81">
        <v>0</v>
      </c>
      <c r="D1777" s="82">
        <v>0</v>
      </c>
    </row>
    <row r="1778" spans="1:4" ht="28.5">
      <c r="A1778" s="78" t="s">
        <v>1907</v>
      </c>
      <c r="B1778" s="76">
        <v>59269</v>
      </c>
      <c r="C1778" s="81">
        <v>0</v>
      </c>
      <c r="D1778" s="82">
        <v>0</v>
      </c>
    </row>
    <row r="1779" spans="1:4" ht="28.5">
      <c r="A1779" s="78" t="s">
        <v>1908</v>
      </c>
      <c r="B1779" s="76">
        <v>59270</v>
      </c>
      <c r="C1779" s="81">
        <v>0</v>
      </c>
      <c r="D1779" s="82">
        <v>0</v>
      </c>
    </row>
    <row r="1780" spans="1:4" ht="28.5">
      <c r="A1780" s="78" t="s">
        <v>1909</v>
      </c>
      <c r="B1780" s="76">
        <v>59271</v>
      </c>
      <c r="C1780" s="81">
        <v>0</v>
      </c>
      <c r="D1780" s="82">
        <v>0</v>
      </c>
    </row>
    <row r="1781" spans="1:4" ht="28.5">
      <c r="A1781" s="78" t="s">
        <v>1910</v>
      </c>
      <c r="B1781" s="76">
        <v>59272</v>
      </c>
      <c r="C1781" s="81">
        <v>0</v>
      </c>
      <c r="D1781" s="82">
        <v>0</v>
      </c>
    </row>
    <row r="1782" spans="1:4" ht="28.5">
      <c r="A1782" s="78" t="s">
        <v>1911</v>
      </c>
      <c r="B1782" s="76">
        <v>59273</v>
      </c>
      <c r="C1782" s="81">
        <v>0</v>
      </c>
      <c r="D1782" s="82">
        <v>0</v>
      </c>
    </row>
    <row r="1783" spans="1:4" ht="42.75">
      <c r="A1783" s="78" t="s">
        <v>1912</v>
      </c>
      <c r="B1783" s="76">
        <v>59283</v>
      </c>
      <c r="C1783" s="81">
        <v>0</v>
      </c>
      <c r="D1783" s="82">
        <v>0</v>
      </c>
    </row>
    <row r="1784" spans="1:4">
      <c r="A1784" s="78" t="s">
        <v>1913</v>
      </c>
      <c r="B1784" s="76">
        <v>59300</v>
      </c>
      <c r="C1784" s="81">
        <v>0</v>
      </c>
      <c r="D1784" s="82">
        <v>0</v>
      </c>
    </row>
    <row r="1785" spans="1:4" ht="28.5">
      <c r="A1785" s="78" t="s">
        <v>1914</v>
      </c>
      <c r="B1785" s="76">
        <v>59308</v>
      </c>
      <c r="C1785" s="81">
        <v>0</v>
      </c>
      <c r="D1785" s="82">
        <v>0</v>
      </c>
    </row>
    <row r="1786" spans="1:4" ht="28.5">
      <c r="A1786" s="78" t="s">
        <v>1915</v>
      </c>
      <c r="B1786" s="76">
        <v>59309</v>
      </c>
      <c r="C1786" s="81">
        <v>0</v>
      </c>
      <c r="D1786" s="82">
        <v>0</v>
      </c>
    </row>
    <row r="1787" spans="1:4" ht="28.5">
      <c r="A1787" s="78" t="s">
        <v>1916</v>
      </c>
      <c r="B1787" s="76">
        <v>59315</v>
      </c>
      <c r="C1787" s="81">
        <v>0</v>
      </c>
      <c r="D1787" s="82">
        <v>0</v>
      </c>
    </row>
    <row r="1788" spans="1:4" ht="28.5">
      <c r="A1788" s="78" t="s">
        <v>1917</v>
      </c>
      <c r="B1788" s="76">
        <v>59316</v>
      </c>
      <c r="C1788" s="81">
        <v>0</v>
      </c>
      <c r="D1788" s="82">
        <v>0</v>
      </c>
    </row>
    <row r="1789" spans="1:4" ht="28.5">
      <c r="A1789" s="78" t="s">
        <v>1918</v>
      </c>
      <c r="B1789" s="76">
        <v>59317</v>
      </c>
      <c r="C1789" s="81">
        <v>0</v>
      </c>
      <c r="D1789" s="82">
        <v>0</v>
      </c>
    </row>
    <row r="1790" spans="1:4">
      <c r="A1790" s="78" t="s">
        <v>1919</v>
      </c>
      <c r="B1790" s="76">
        <v>59322</v>
      </c>
      <c r="C1790" s="81">
        <v>0</v>
      </c>
      <c r="D1790" s="82">
        <v>0</v>
      </c>
    </row>
    <row r="1791" spans="1:4" ht="28.5">
      <c r="A1791" s="78" t="s">
        <v>1920</v>
      </c>
      <c r="B1791" s="76">
        <v>59323</v>
      </c>
      <c r="C1791" s="81">
        <v>0</v>
      </c>
      <c r="D1791" s="82">
        <v>0</v>
      </c>
    </row>
    <row r="1792" spans="1:4" ht="28.5">
      <c r="A1792" s="78" t="s">
        <v>1921</v>
      </c>
      <c r="B1792" s="76">
        <v>59328</v>
      </c>
      <c r="C1792" s="81">
        <v>0</v>
      </c>
      <c r="D1792" s="82">
        <v>0</v>
      </c>
    </row>
    <row r="1793" spans="1:4" ht="42.75">
      <c r="A1793" s="78" t="s">
        <v>1922</v>
      </c>
      <c r="B1793" s="76">
        <v>59329</v>
      </c>
      <c r="C1793" s="81">
        <v>0</v>
      </c>
      <c r="D1793" s="82">
        <v>0</v>
      </c>
    </row>
    <row r="1794" spans="1:4">
      <c r="A1794" s="78" t="s">
        <v>1923</v>
      </c>
      <c r="B1794" s="76">
        <v>59330</v>
      </c>
      <c r="C1794" s="81">
        <v>0</v>
      </c>
      <c r="D1794" s="82">
        <v>0</v>
      </c>
    </row>
    <row r="1795" spans="1:4" ht="28.5">
      <c r="A1795" s="78" t="s">
        <v>1924</v>
      </c>
      <c r="B1795" s="76">
        <v>59331</v>
      </c>
      <c r="C1795" s="81">
        <v>0</v>
      </c>
      <c r="D1795" s="82">
        <v>0</v>
      </c>
    </row>
    <row r="1796" spans="1:4" ht="28.5">
      <c r="A1796" s="78" t="s">
        <v>1925</v>
      </c>
      <c r="B1796" s="76">
        <v>59334</v>
      </c>
      <c r="C1796" s="81">
        <v>0</v>
      </c>
      <c r="D1796" s="82">
        <v>0</v>
      </c>
    </row>
    <row r="1797" spans="1:4" ht="28.5">
      <c r="A1797" s="78" t="s">
        <v>1926</v>
      </c>
      <c r="B1797" s="76">
        <v>59339</v>
      </c>
      <c r="C1797" s="81">
        <v>0</v>
      </c>
      <c r="D1797" s="82">
        <v>0</v>
      </c>
    </row>
    <row r="1798" spans="1:4" ht="28.5">
      <c r="A1798" s="78" t="s">
        <v>1927</v>
      </c>
      <c r="B1798" s="76">
        <v>59357</v>
      </c>
      <c r="C1798" s="81">
        <v>0</v>
      </c>
      <c r="D1798" s="82">
        <v>0</v>
      </c>
    </row>
    <row r="1799" spans="1:4" ht="42.75">
      <c r="A1799" s="78" t="s">
        <v>1928</v>
      </c>
      <c r="B1799" s="76">
        <v>59359</v>
      </c>
      <c r="C1799" s="81">
        <v>0</v>
      </c>
      <c r="D1799" s="82">
        <v>0</v>
      </c>
    </row>
    <row r="1800" spans="1:4" ht="42.75">
      <c r="A1800" s="78" t="s">
        <v>1929</v>
      </c>
      <c r="B1800" s="76">
        <v>59360</v>
      </c>
      <c r="C1800" s="81">
        <v>0</v>
      </c>
      <c r="D1800" s="82">
        <v>0</v>
      </c>
    </row>
    <row r="1801" spans="1:4">
      <c r="A1801" s="78" t="s">
        <v>1930</v>
      </c>
      <c r="B1801" s="76">
        <v>59374</v>
      </c>
      <c r="C1801" s="81">
        <v>0</v>
      </c>
      <c r="D1801" s="82">
        <v>0</v>
      </c>
    </row>
    <row r="1802" spans="1:4" ht="28.5">
      <c r="A1802" s="78" t="s">
        <v>1931</v>
      </c>
      <c r="B1802" s="76">
        <v>59380</v>
      </c>
      <c r="C1802" s="81">
        <v>0</v>
      </c>
      <c r="D1802" s="82">
        <v>0</v>
      </c>
    </row>
    <row r="1803" spans="1:4" ht="28.5">
      <c r="A1803" s="78" t="s">
        <v>1932</v>
      </c>
      <c r="B1803" s="76">
        <v>59386</v>
      </c>
      <c r="C1803" s="81">
        <v>0</v>
      </c>
      <c r="D1803" s="82">
        <v>0</v>
      </c>
    </row>
    <row r="1804" spans="1:4" ht="28.5">
      <c r="A1804" s="78" t="s">
        <v>1933</v>
      </c>
      <c r="B1804" s="76">
        <v>59387</v>
      </c>
      <c r="C1804" s="81">
        <v>0</v>
      </c>
      <c r="D1804" s="82">
        <v>0</v>
      </c>
    </row>
    <row r="1805" spans="1:4" ht="28.5">
      <c r="A1805" s="78" t="s">
        <v>1934</v>
      </c>
      <c r="B1805" s="76">
        <v>59388</v>
      </c>
      <c r="C1805" s="81">
        <v>0</v>
      </c>
      <c r="D1805" s="82">
        <v>0</v>
      </c>
    </row>
    <row r="1806" spans="1:4" ht="28.5">
      <c r="A1806" s="78" t="s">
        <v>1935</v>
      </c>
      <c r="B1806" s="76">
        <v>59389</v>
      </c>
      <c r="C1806" s="81">
        <v>0</v>
      </c>
      <c r="D1806" s="82">
        <v>0</v>
      </c>
    </row>
    <row r="1807" spans="1:4" ht="28.5">
      <c r="A1807" s="78" t="s">
        <v>1936</v>
      </c>
      <c r="B1807" s="76">
        <v>59395</v>
      </c>
      <c r="C1807" s="81">
        <v>0</v>
      </c>
      <c r="D1807" s="82">
        <v>0</v>
      </c>
    </row>
    <row r="1808" spans="1:4">
      <c r="A1808" s="78" t="s">
        <v>1937</v>
      </c>
      <c r="B1808" s="76">
        <v>59404</v>
      </c>
      <c r="C1808" s="81">
        <v>0</v>
      </c>
      <c r="D1808" s="82">
        <v>0</v>
      </c>
    </row>
    <row r="1809" spans="1:4" ht="28.5">
      <c r="A1809" s="78" t="s">
        <v>1938</v>
      </c>
      <c r="B1809" s="76">
        <v>59405</v>
      </c>
      <c r="C1809" s="81">
        <v>0</v>
      </c>
      <c r="D1809" s="82">
        <v>0</v>
      </c>
    </row>
    <row r="1810" spans="1:4">
      <c r="A1810" s="78" t="s">
        <v>1939</v>
      </c>
      <c r="B1810" s="76">
        <v>59407</v>
      </c>
      <c r="C1810" s="81">
        <v>0</v>
      </c>
      <c r="D1810" s="82">
        <v>0</v>
      </c>
    </row>
    <row r="1811" spans="1:4">
      <c r="A1811" s="78" t="s">
        <v>1940</v>
      </c>
      <c r="B1811" s="76">
        <v>59408</v>
      </c>
      <c r="C1811" s="81">
        <v>0</v>
      </c>
      <c r="D1811" s="82">
        <v>0</v>
      </c>
    </row>
    <row r="1812" spans="1:4" ht="28.5">
      <c r="A1812" s="78" t="s">
        <v>1941</v>
      </c>
      <c r="B1812" s="76">
        <v>59409</v>
      </c>
      <c r="C1812" s="81">
        <v>0</v>
      </c>
      <c r="D1812" s="82">
        <v>0</v>
      </c>
    </row>
    <row r="1813" spans="1:4">
      <c r="A1813" s="78" t="s">
        <v>1942</v>
      </c>
      <c r="B1813" s="76">
        <v>59410</v>
      </c>
      <c r="C1813" s="81">
        <v>0</v>
      </c>
      <c r="D1813" s="82">
        <v>0</v>
      </c>
    </row>
    <row r="1814" spans="1:4">
      <c r="A1814" s="78" t="s">
        <v>1943</v>
      </c>
      <c r="B1814" s="76">
        <v>59411</v>
      </c>
      <c r="C1814" s="81">
        <v>0</v>
      </c>
      <c r="D1814" s="82">
        <v>0</v>
      </c>
    </row>
    <row r="1815" spans="1:4" ht="28.5">
      <c r="A1815" s="78" t="s">
        <v>1944</v>
      </c>
      <c r="B1815" s="76">
        <v>59412</v>
      </c>
      <c r="C1815" s="81">
        <v>0</v>
      </c>
      <c r="D1815" s="82">
        <v>0</v>
      </c>
    </row>
    <row r="1816" spans="1:4">
      <c r="A1816" s="78" t="s">
        <v>1945</v>
      </c>
      <c r="B1816" s="76">
        <v>59413</v>
      </c>
      <c r="C1816" s="81">
        <v>0</v>
      </c>
      <c r="D1816" s="82">
        <v>0</v>
      </c>
    </row>
    <row r="1817" spans="1:4" ht="28.5">
      <c r="A1817" s="78" t="s">
        <v>1946</v>
      </c>
      <c r="B1817" s="76">
        <v>59414</v>
      </c>
      <c r="C1817" s="81">
        <v>0</v>
      </c>
      <c r="D1817" s="82">
        <v>0</v>
      </c>
    </row>
    <row r="1818" spans="1:4" ht="28.5">
      <c r="A1818" s="78" t="s">
        <v>1947</v>
      </c>
      <c r="B1818" s="76">
        <v>59416</v>
      </c>
      <c r="C1818" s="81">
        <v>0</v>
      </c>
      <c r="D1818" s="82">
        <v>0</v>
      </c>
    </row>
    <row r="1819" spans="1:4" ht="42.75">
      <c r="A1819" s="78" t="s">
        <v>1948</v>
      </c>
      <c r="B1819" s="76">
        <v>59421</v>
      </c>
      <c r="C1819" s="81">
        <v>0</v>
      </c>
      <c r="D1819" s="82">
        <v>0</v>
      </c>
    </row>
    <row r="1820" spans="1:4" ht="42.75">
      <c r="A1820" s="78" t="s">
        <v>1949</v>
      </c>
      <c r="B1820" s="76">
        <v>59422</v>
      </c>
      <c r="C1820" s="81">
        <v>0</v>
      </c>
      <c r="D1820" s="82">
        <v>0</v>
      </c>
    </row>
    <row r="1821" spans="1:4" ht="42.75">
      <c r="A1821" s="78" t="s">
        <v>1950</v>
      </c>
      <c r="B1821" s="76">
        <v>59423</v>
      </c>
      <c r="C1821" s="81">
        <v>0</v>
      </c>
      <c r="D1821" s="82">
        <v>0</v>
      </c>
    </row>
    <row r="1822" spans="1:4" ht="28.5">
      <c r="A1822" s="78" t="s">
        <v>1951</v>
      </c>
      <c r="B1822" s="76">
        <v>59428</v>
      </c>
      <c r="C1822" s="81">
        <v>0</v>
      </c>
      <c r="D1822" s="82">
        <v>0</v>
      </c>
    </row>
    <row r="1823" spans="1:4" ht="28.5">
      <c r="A1823" s="78" t="s">
        <v>1952</v>
      </c>
      <c r="B1823" s="76">
        <v>59430</v>
      </c>
      <c r="C1823" s="81">
        <v>0</v>
      </c>
      <c r="D1823" s="82">
        <v>0</v>
      </c>
    </row>
    <row r="1824" spans="1:4" ht="28.5">
      <c r="A1824" s="78" t="s">
        <v>1953</v>
      </c>
      <c r="B1824" s="76">
        <v>59431</v>
      </c>
      <c r="C1824" s="81">
        <v>0</v>
      </c>
      <c r="D1824" s="82">
        <v>0</v>
      </c>
    </row>
    <row r="1825" spans="1:4" ht="28.5">
      <c r="A1825" s="78" t="s">
        <v>1954</v>
      </c>
      <c r="B1825" s="76">
        <v>59440</v>
      </c>
      <c r="C1825" s="81">
        <v>0</v>
      </c>
      <c r="D1825" s="82">
        <v>0</v>
      </c>
    </row>
    <row r="1826" spans="1:4" ht="28.5">
      <c r="A1826" s="78" t="s">
        <v>1955</v>
      </c>
      <c r="B1826" s="76">
        <v>59441</v>
      </c>
      <c r="C1826" s="81">
        <v>0</v>
      </c>
      <c r="D1826" s="82">
        <v>0</v>
      </c>
    </row>
    <row r="1827" spans="1:4">
      <c r="A1827" s="78" t="s">
        <v>1956</v>
      </c>
      <c r="B1827" s="76">
        <v>59443</v>
      </c>
      <c r="C1827" s="81">
        <v>0</v>
      </c>
      <c r="D1827" s="82">
        <v>0</v>
      </c>
    </row>
    <row r="1828" spans="1:4">
      <c r="A1828" s="78" t="s">
        <v>1957</v>
      </c>
      <c r="B1828" s="76">
        <v>59454</v>
      </c>
      <c r="C1828" s="81">
        <v>0</v>
      </c>
      <c r="D1828" s="82">
        <v>0</v>
      </c>
    </row>
    <row r="1829" spans="1:4">
      <c r="A1829" s="78" t="s">
        <v>1958</v>
      </c>
      <c r="B1829" s="76">
        <v>59455</v>
      </c>
      <c r="C1829" s="81">
        <v>0</v>
      </c>
      <c r="D1829" s="82">
        <v>0</v>
      </c>
    </row>
    <row r="1830" spans="1:4" ht="28.5">
      <c r="A1830" s="78" t="s">
        <v>1959</v>
      </c>
      <c r="B1830" s="76">
        <v>59462</v>
      </c>
      <c r="C1830" s="81">
        <v>0</v>
      </c>
      <c r="D1830" s="82">
        <v>0</v>
      </c>
    </row>
    <row r="1831" spans="1:4">
      <c r="A1831" s="78" t="s">
        <v>1960</v>
      </c>
      <c r="B1831" s="76">
        <v>59469</v>
      </c>
      <c r="C1831" s="81">
        <v>0</v>
      </c>
      <c r="D1831" s="82">
        <v>0</v>
      </c>
    </row>
    <row r="1832" spans="1:4">
      <c r="A1832" s="78" t="s">
        <v>1961</v>
      </c>
      <c r="B1832" s="76">
        <v>59472</v>
      </c>
      <c r="C1832" s="81">
        <v>0</v>
      </c>
      <c r="D1832" s="82">
        <v>0</v>
      </c>
    </row>
    <row r="1833" spans="1:4" ht="28.5">
      <c r="A1833" s="78" t="s">
        <v>1962</v>
      </c>
      <c r="B1833" s="76">
        <v>59473</v>
      </c>
      <c r="C1833" s="81">
        <v>0</v>
      </c>
      <c r="D1833" s="82">
        <v>0</v>
      </c>
    </row>
    <row r="1834" spans="1:4" ht="42.75">
      <c r="A1834" s="78" t="s">
        <v>1963</v>
      </c>
      <c r="B1834" s="76">
        <v>59490</v>
      </c>
      <c r="C1834" s="81">
        <v>0</v>
      </c>
      <c r="D1834" s="82">
        <v>0</v>
      </c>
    </row>
    <row r="1835" spans="1:4" ht="42.75">
      <c r="A1835" s="78" t="s">
        <v>1964</v>
      </c>
      <c r="B1835" s="76">
        <v>59491</v>
      </c>
      <c r="C1835" s="81">
        <v>0</v>
      </c>
      <c r="D1835" s="82">
        <v>0</v>
      </c>
    </row>
    <row r="1836" spans="1:4" ht="42.75">
      <c r="A1836" s="78" t="s">
        <v>1965</v>
      </c>
      <c r="B1836" s="76">
        <v>59492</v>
      </c>
      <c r="C1836" s="81">
        <v>0</v>
      </c>
      <c r="D1836" s="82">
        <v>0</v>
      </c>
    </row>
    <row r="1837" spans="1:4" ht="42.75">
      <c r="A1837" s="78" t="s">
        <v>1966</v>
      </c>
      <c r="B1837" s="76">
        <v>59493</v>
      </c>
      <c r="C1837" s="81">
        <v>0</v>
      </c>
      <c r="D1837" s="82">
        <v>0</v>
      </c>
    </row>
    <row r="1838" spans="1:4" ht="42.75">
      <c r="A1838" s="78" t="s">
        <v>1967</v>
      </c>
      <c r="B1838" s="76">
        <v>59494</v>
      </c>
      <c r="C1838" s="81">
        <v>0</v>
      </c>
      <c r="D1838" s="82">
        <v>0</v>
      </c>
    </row>
    <row r="1839" spans="1:4">
      <c r="A1839" s="78" t="s">
        <v>1968</v>
      </c>
      <c r="B1839" s="76">
        <v>59522</v>
      </c>
      <c r="C1839" s="81">
        <v>0</v>
      </c>
      <c r="D1839" s="82">
        <v>0</v>
      </c>
    </row>
    <row r="1840" spans="1:4" ht="28.5">
      <c r="A1840" s="78" t="s">
        <v>1969</v>
      </c>
      <c r="B1840" s="76">
        <v>59523</v>
      </c>
      <c r="C1840" s="81">
        <v>0</v>
      </c>
      <c r="D1840" s="82">
        <v>0</v>
      </c>
    </row>
    <row r="1841" spans="1:4" ht="28.5">
      <c r="A1841" s="78" t="s">
        <v>1970</v>
      </c>
      <c r="B1841" s="76">
        <v>59524</v>
      </c>
      <c r="C1841" s="81">
        <v>0</v>
      </c>
      <c r="D1841" s="82">
        <v>0</v>
      </c>
    </row>
    <row r="1842" spans="1:4">
      <c r="A1842" s="78" t="s">
        <v>1971</v>
      </c>
      <c r="B1842" s="76">
        <v>59528</v>
      </c>
      <c r="C1842" s="81">
        <v>0</v>
      </c>
      <c r="D1842" s="82">
        <v>0</v>
      </c>
    </row>
    <row r="1843" spans="1:4" ht="28.5">
      <c r="A1843" s="78" t="s">
        <v>1972</v>
      </c>
      <c r="B1843" s="76">
        <v>59531</v>
      </c>
      <c r="C1843" s="81">
        <v>0</v>
      </c>
      <c r="D1843" s="82">
        <v>0</v>
      </c>
    </row>
    <row r="1844" spans="1:4" ht="28.5">
      <c r="A1844" s="78" t="s">
        <v>1973</v>
      </c>
      <c r="B1844" s="76">
        <v>59532</v>
      </c>
      <c r="C1844" s="81">
        <v>0</v>
      </c>
      <c r="D1844" s="82">
        <v>0</v>
      </c>
    </row>
    <row r="1845" spans="1:4" ht="28.5">
      <c r="A1845" s="78" t="s">
        <v>1974</v>
      </c>
      <c r="B1845" s="76">
        <v>59536</v>
      </c>
      <c r="C1845" s="81">
        <v>0</v>
      </c>
      <c r="D1845" s="82">
        <v>0</v>
      </c>
    </row>
    <row r="1846" spans="1:4" ht="28.5">
      <c r="A1846" s="78" t="s">
        <v>1975</v>
      </c>
      <c r="B1846" s="76">
        <v>59537</v>
      </c>
      <c r="C1846" s="81">
        <v>0</v>
      </c>
      <c r="D1846" s="82">
        <v>0</v>
      </c>
    </row>
    <row r="1847" spans="1:4">
      <c r="A1847" s="78" t="s">
        <v>1976</v>
      </c>
      <c r="B1847" s="76">
        <v>59539</v>
      </c>
      <c r="C1847" s="81">
        <v>0</v>
      </c>
      <c r="D1847" s="82">
        <v>0</v>
      </c>
    </row>
    <row r="1848" spans="1:4" ht="42.75">
      <c r="A1848" s="78" t="s">
        <v>1977</v>
      </c>
      <c r="B1848" s="76">
        <v>59540</v>
      </c>
      <c r="C1848" s="81">
        <v>0</v>
      </c>
      <c r="D1848" s="82">
        <v>0</v>
      </c>
    </row>
    <row r="1849" spans="1:4">
      <c r="A1849" s="78" t="s">
        <v>1978</v>
      </c>
      <c r="B1849" s="76">
        <v>59541</v>
      </c>
      <c r="C1849" s="81">
        <v>0</v>
      </c>
      <c r="D1849" s="82">
        <v>0</v>
      </c>
    </row>
    <row r="1850" spans="1:4" ht="28.5">
      <c r="A1850" s="78" t="s">
        <v>1979</v>
      </c>
      <c r="B1850" s="76">
        <v>59550</v>
      </c>
      <c r="C1850" s="81">
        <v>0</v>
      </c>
      <c r="D1850" s="82">
        <v>0</v>
      </c>
    </row>
    <row r="1851" spans="1:4">
      <c r="A1851" s="78" t="s">
        <v>1980</v>
      </c>
      <c r="B1851" s="76">
        <v>59555</v>
      </c>
      <c r="C1851" s="81">
        <v>0</v>
      </c>
      <c r="D1851" s="82">
        <v>0</v>
      </c>
    </row>
    <row r="1852" spans="1:4" ht="28.5">
      <c r="A1852" s="78" t="s">
        <v>1981</v>
      </c>
      <c r="B1852" s="76">
        <v>59558</v>
      </c>
      <c r="C1852" s="81">
        <v>0</v>
      </c>
      <c r="D1852" s="82">
        <v>0</v>
      </c>
    </row>
    <row r="1853" spans="1:4">
      <c r="A1853" s="78" t="s">
        <v>1982</v>
      </c>
      <c r="B1853" s="76">
        <v>59560</v>
      </c>
      <c r="C1853" s="81">
        <v>0</v>
      </c>
      <c r="D1853" s="82">
        <v>0</v>
      </c>
    </row>
    <row r="1854" spans="1:4" ht="28.5">
      <c r="A1854" s="78" t="s">
        <v>1983</v>
      </c>
      <c r="B1854" s="76">
        <v>59597</v>
      </c>
      <c r="C1854" s="81">
        <v>0</v>
      </c>
      <c r="D1854" s="82">
        <v>0</v>
      </c>
    </row>
    <row r="1855" spans="1:4" ht="28.5">
      <c r="A1855" s="78" t="s">
        <v>1984</v>
      </c>
      <c r="B1855" s="76">
        <v>59598</v>
      </c>
      <c r="C1855" s="81">
        <v>0</v>
      </c>
      <c r="D1855" s="82">
        <v>0</v>
      </c>
    </row>
    <row r="1856" spans="1:4" ht="28.5">
      <c r="A1856" s="78" t="s">
        <v>1985</v>
      </c>
      <c r="B1856" s="76">
        <v>59599</v>
      </c>
      <c r="C1856" s="81">
        <v>0</v>
      </c>
      <c r="D1856" s="82">
        <v>0</v>
      </c>
    </row>
    <row r="1857" spans="1:4" ht="28.5">
      <c r="A1857" s="78" t="s">
        <v>1986</v>
      </c>
      <c r="B1857" s="76">
        <v>59600</v>
      </c>
      <c r="C1857" s="81">
        <v>0</v>
      </c>
      <c r="D1857" s="82">
        <v>0</v>
      </c>
    </row>
    <row r="1858" spans="1:4" ht="28.5">
      <c r="A1858" s="78" t="s">
        <v>1987</v>
      </c>
      <c r="B1858" s="76">
        <v>59607</v>
      </c>
      <c r="C1858" s="81">
        <v>0</v>
      </c>
      <c r="D1858" s="82">
        <v>0</v>
      </c>
    </row>
    <row r="1859" spans="1:4" ht="28.5">
      <c r="A1859" s="78" t="s">
        <v>1988</v>
      </c>
      <c r="B1859" s="76">
        <v>59610</v>
      </c>
      <c r="C1859" s="81">
        <v>0</v>
      </c>
      <c r="D1859" s="82">
        <v>0</v>
      </c>
    </row>
    <row r="1860" spans="1:4" ht="42.75">
      <c r="A1860" s="78" t="s">
        <v>1989</v>
      </c>
      <c r="B1860" s="76">
        <v>59618</v>
      </c>
      <c r="C1860" s="81">
        <v>0</v>
      </c>
      <c r="D1860" s="82">
        <v>0</v>
      </c>
    </row>
    <row r="1861" spans="1:4">
      <c r="A1861" s="78" t="s">
        <v>1990</v>
      </c>
      <c r="B1861" s="76">
        <v>59619</v>
      </c>
      <c r="C1861" s="81">
        <v>0</v>
      </c>
      <c r="D1861" s="82">
        <v>0</v>
      </c>
    </row>
    <row r="1862" spans="1:4" ht="28.5">
      <c r="A1862" s="78" t="s">
        <v>1991</v>
      </c>
      <c r="B1862" s="76">
        <v>59620</v>
      </c>
      <c r="C1862" s="81">
        <v>0</v>
      </c>
      <c r="D1862" s="82">
        <v>0</v>
      </c>
    </row>
    <row r="1863" spans="1:4" ht="28.5">
      <c r="A1863" s="78" t="s">
        <v>1992</v>
      </c>
      <c r="B1863" s="76">
        <v>59633</v>
      </c>
      <c r="C1863" s="81">
        <v>0</v>
      </c>
      <c r="D1863" s="82">
        <v>0</v>
      </c>
    </row>
    <row r="1864" spans="1:4">
      <c r="A1864" s="78" t="s">
        <v>1993</v>
      </c>
      <c r="B1864" s="76">
        <v>59634</v>
      </c>
      <c r="C1864" s="81">
        <v>0</v>
      </c>
      <c r="D1864" s="82">
        <v>0</v>
      </c>
    </row>
    <row r="1865" spans="1:4">
      <c r="A1865" s="78" t="s">
        <v>1994</v>
      </c>
      <c r="B1865" s="76">
        <v>59638</v>
      </c>
      <c r="C1865" s="81">
        <v>0</v>
      </c>
      <c r="D1865" s="82">
        <v>0</v>
      </c>
    </row>
    <row r="1866" spans="1:4" ht="28.5">
      <c r="A1866" s="78" t="s">
        <v>1995</v>
      </c>
      <c r="B1866" s="76">
        <v>59651</v>
      </c>
      <c r="C1866" s="81">
        <v>0</v>
      </c>
      <c r="D1866" s="82">
        <v>0</v>
      </c>
    </row>
    <row r="1867" spans="1:4">
      <c r="A1867" s="78" t="s">
        <v>1996</v>
      </c>
      <c r="B1867" s="76">
        <v>59652</v>
      </c>
      <c r="C1867" s="81">
        <v>0</v>
      </c>
      <c r="D1867" s="82">
        <v>0</v>
      </c>
    </row>
    <row r="1868" spans="1:4" ht="42.75">
      <c r="A1868" s="78" t="s">
        <v>1997</v>
      </c>
      <c r="B1868" s="76">
        <v>59653</v>
      </c>
      <c r="C1868" s="81">
        <v>0</v>
      </c>
      <c r="D1868" s="82">
        <v>0</v>
      </c>
    </row>
    <row r="1869" spans="1:4">
      <c r="A1869" s="78" t="s">
        <v>1998</v>
      </c>
      <c r="B1869" s="76">
        <v>59656</v>
      </c>
      <c r="C1869" s="81">
        <v>0</v>
      </c>
      <c r="D1869" s="82">
        <v>0</v>
      </c>
    </row>
    <row r="1870" spans="1:4" ht="42.75">
      <c r="A1870" s="78" t="s">
        <v>1999</v>
      </c>
      <c r="B1870" s="76">
        <v>59657</v>
      </c>
      <c r="C1870" s="81">
        <v>0</v>
      </c>
      <c r="D1870" s="82">
        <v>0</v>
      </c>
    </row>
    <row r="1871" spans="1:4" ht="28.5">
      <c r="A1871" s="78" t="s">
        <v>2000</v>
      </c>
      <c r="B1871" s="76">
        <v>59687</v>
      </c>
      <c r="C1871" s="81">
        <v>0</v>
      </c>
      <c r="D1871" s="82">
        <v>0</v>
      </c>
    </row>
    <row r="1872" spans="1:4" ht="28.5">
      <c r="A1872" s="78" t="s">
        <v>2001</v>
      </c>
      <c r="B1872" s="76">
        <v>59695</v>
      </c>
      <c r="C1872" s="81">
        <v>0</v>
      </c>
      <c r="D1872" s="82">
        <v>0</v>
      </c>
    </row>
    <row r="1873" spans="1:4">
      <c r="A1873" s="78" t="s">
        <v>2002</v>
      </c>
      <c r="B1873" s="76">
        <v>59702</v>
      </c>
      <c r="C1873" s="81">
        <v>0</v>
      </c>
      <c r="D1873" s="82">
        <v>0</v>
      </c>
    </row>
    <row r="1874" spans="1:4" ht="42.75">
      <c r="A1874" s="78" t="s">
        <v>2003</v>
      </c>
      <c r="B1874" s="76">
        <v>59703</v>
      </c>
      <c r="C1874" s="81">
        <v>0</v>
      </c>
      <c r="D1874" s="82">
        <v>0</v>
      </c>
    </row>
    <row r="1875" spans="1:4">
      <c r="A1875" s="78" t="s">
        <v>2004</v>
      </c>
      <c r="B1875" s="76">
        <v>59722</v>
      </c>
      <c r="C1875" s="81">
        <v>0</v>
      </c>
      <c r="D1875" s="82">
        <v>0</v>
      </c>
    </row>
    <row r="1876" spans="1:4">
      <c r="A1876" s="78" t="s">
        <v>2005</v>
      </c>
      <c r="B1876" s="76">
        <v>59723</v>
      </c>
      <c r="C1876" s="81">
        <v>0</v>
      </c>
      <c r="D1876" s="82">
        <v>0</v>
      </c>
    </row>
    <row r="1877" spans="1:4">
      <c r="A1877" s="78" t="s">
        <v>2006</v>
      </c>
      <c r="B1877" s="76">
        <v>59730</v>
      </c>
      <c r="C1877" s="81">
        <v>0</v>
      </c>
      <c r="D1877" s="82">
        <v>0</v>
      </c>
    </row>
    <row r="1878" spans="1:4">
      <c r="A1878" s="78" t="s">
        <v>2007</v>
      </c>
      <c r="B1878" s="76">
        <v>59737</v>
      </c>
      <c r="C1878" s="81">
        <v>0</v>
      </c>
      <c r="D1878" s="82">
        <v>0</v>
      </c>
    </row>
    <row r="1879" spans="1:4">
      <c r="A1879" s="78" t="s">
        <v>2008</v>
      </c>
      <c r="B1879" s="76">
        <v>59738</v>
      </c>
      <c r="C1879" s="81">
        <v>0</v>
      </c>
      <c r="D1879" s="82">
        <v>0</v>
      </c>
    </row>
    <row r="1880" spans="1:4">
      <c r="A1880" s="78" t="s">
        <v>2009</v>
      </c>
      <c r="B1880" s="76">
        <v>59739</v>
      </c>
      <c r="C1880" s="81">
        <v>0</v>
      </c>
      <c r="D1880" s="82">
        <v>0</v>
      </c>
    </row>
    <row r="1881" spans="1:4" ht="28.5">
      <c r="A1881" s="78" t="s">
        <v>2010</v>
      </c>
      <c r="B1881" s="76">
        <v>59740</v>
      </c>
      <c r="C1881" s="81">
        <v>0</v>
      </c>
      <c r="D1881" s="82">
        <v>0</v>
      </c>
    </row>
    <row r="1882" spans="1:4" ht="42.75">
      <c r="A1882" s="78" t="s">
        <v>2011</v>
      </c>
      <c r="B1882" s="76">
        <v>59742</v>
      </c>
      <c r="C1882" s="81">
        <v>0</v>
      </c>
      <c r="D1882" s="82">
        <v>0</v>
      </c>
    </row>
    <row r="1883" spans="1:4" ht="42.75">
      <c r="A1883" s="78" t="s">
        <v>2012</v>
      </c>
      <c r="B1883" s="76">
        <v>59746</v>
      </c>
      <c r="C1883" s="81">
        <v>0</v>
      </c>
      <c r="D1883" s="82">
        <v>0</v>
      </c>
    </row>
    <row r="1884" spans="1:4" ht="28.5">
      <c r="A1884" s="78" t="s">
        <v>2013</v>
      </c>
      <c r="B1884" s="76">
        <v>59747</v>
      </c>
      <c r="C1884" s="81">
        <v>0</v>
      </c>
      <c r="D1884" s="82">
        <v>0</v>
      </c>
    </row>
    <row r="1885" spans="1:4" ht="42.75">
      <c r="A1885" s="78" t="s">
        <v>2014</v>
      </c>
      <c r="B1885" s="76">
        <v>59748</v>
      </c>
      <c r="C1885" s="81">
        <v>0</v>
      </c>
      <c r="D1885" s="82">
        <v>0</v>
      </c>
    </row>
    <row r="1886" spans="1:4" ht="28.5">
      <c r="A1886" s="78" t="s">
        <v>2015</v>
      </c>
      <c r="B1886" s="76">
        <v>59757</v>
      </c>
      <c r="C1886" s="81">
        <v>0</v>
      </c>
      <c r="D1886" s="82">
        <v>0</v>
      </c>
    </row>
    <row r="1887" spans="1:4" ht="42.75">
      <c r="A1887" s="78" t="s">
        <v>2016</v>
      </c>
      <c r="B1887" s="76">
        <v>59779</v>
      </c>
      <c r="C1887" s="81">
        <v>0</v>
      </c>
      <c r="D1887" s="82">
        <v>0</v>
      </c>
    </row>
    <row r="1888" spans="1:4" ht="28.5">
      <c r="A1888" s="78" t="s">
        <v>2017</v>
      </c>
      <c r="B1888" s="76">
        <v>59786</v>
      </c>
      <c r="C1888" s="81">
        <v>0</v>
      </c>
      <c r="D1888" s="82">
        <v>0</v>
      </c>
    </row>
    <row r="1889" spans="1:4" ht="28.5">
      <c r="A1889" s="78" t="s">
        <v>2018</v>
      </c>
      <c r="B1889" s="76">
        <v>59787</v>
      </c>
      <c r="C1889" s="81">
        <v>0</v>
      </c>
      <c r="D1889" s="82">
        <v>0</v>
      </c>
    </row>
    <row r="1890" spans="1:4" ht="42.75">
      <c r="A1890" s="78" t="s">
        <v>2019</v>
      </c>
      <c r="B1890" s="76">
        <v>59790</v>
      </c>
      <c r="C1890" s="81">
        <v>0</v>
      </c>
      <c r="D1890" s="82">
        <v>0</v>
      </c>
    </row>
    <row r="1891" spans="1:4">
      <c r="A1891" s="78" t="s">
        <v>2020</v>
      </c>
      <c r="B1891" s="76">
        <v>59798</v>
      </c>
      <c r="C1891" s="81">
        <v>0</v>
      </c>
      <c r="D1891" s="82">
        <v>0</v>
      </c>
    </row>
    <row r="1892" spans="1:4" ht="28.5">
      <c r="A1892" s="78" t="s">
        <v>2021</v>
      </c>
      <c r="B1892" s="76">
        <v>59807</v>
      </c>
      <c r="C1892" s="81">
        <v>0</v>
      </c>
      <c r="D1892" s="82">
        <v>0</v>
      </c>
    </row>
    <row r="1893" spans="1:4" ht="28.5">
      <c r="A1893" s="78" t="s">
        <v>2022</v>
      </c>
      <c r="B1893" s="76">
        <v>59817</v>
      </c>
      <c r="C1893" s="81">
        <v>0</v>
      </c>
      <c r="D1893" s="82">
        <v>0</v>
      </c>
    </row>
    <row r="1894" spans="1:4" ht="28.5">
      <c r="A1894" s="78" t="s">
        <v>2023</v>
      </c>
      <c r="B1894" s="76">
        <v>59819</v>
      </c>
      <c r="C1894" s="81">
        <v>0</v>
      </c>
      <c r="D1894" s="82">
        <v>0</v>
      </c>
    </row>
    <row r="1895" spans="1:4">
      <c r="A1895" s="78" t="s">
        <v>2024</v>
      </c>
      <c r="B1895" s="76">
        <v>59827</v>
      </c>
      <c r="C1895" s="81">
        <v>0</v>
      </c>
      <c r="D1895" s="82">
        <v>0</v>
      </c>
    </row>
    <row r="1896" spans="1:4" ht="28.5">
      <c r="A1896" s="78" t="s">
        <v>2025</v>
      </c>
      <c r="B1896" s="76">
        <v>59840</v>
      </c>
      <c r="C1896" s="81">
        <v>0</v>
      </c>
      <c r="D1896" s="82">
        <v>0</v>
      </c>
    </row>
    <row r="1897" spans="1:4" ht="42.75">
      <c r="A1897" s="78" t="s">
        <v>2026</v>
      </c>
      <c r="B1897" s="76">
        <v>59848</v>
      </c>
      <c r="C1897" s="81">
        <v>0</v>
      </c>
      <c r="D1897" s="82">
        <v>0</v>
      </c>
    </row>
    <row r="1898" spans="1:4" ht="42.75">
      <c r="A1898" s="78" t="s">
        <v>2027</v>
      </c>
      <c r="B1898" s="76">
        <v>59849</v>
      </c>
      <c r="C1898" s="81">
        <v>0</v>
      </c>
      <c r="D1898" s="82">
        <v>0</v>
      </c>
    </row>
    <row r="1899" spans="1:4" ht="42.75">
      <c r="A1899" s="78" t="s">
        <v>2028</v>
      </c>
      <c r="B1899" s="76">
        <v>59850</v>
      </c>
      <c r="C1899" s="81">
        <v>0</v>
      </c>
      <c r="D1899" s="82">
        <v>0</v>
      </c>
    </row>
    <row r="1900" spans="1:4" ht="28.5">
      <c r="A1900" s="78" t="s">
        <v>2029</v>
      </c>
      <c r="B1900" s="76">
        <v>59868</v>
      </c>
      <c r="C1900" s="81">
        <v>0</v>
      </c>
      <c r="D1900" s="82">
        <v>0</v>
      </c>
    </row>
    <row r="1901" spans="1:4" ht="28.5">
      <c r="A1901" s="78" t="s">
        <v>2030</v>
      </c>
      <c r="B1901" s="76">
        <v>59870</v>
      </c>
      <c r="C1901" s="81">
        <v>0</v>
      </c>
      <c r="D1901" s="82">
        <v>0</v>
      </c>
    </row>
    <row r="1902" spans="1:4">
      <c r="A1902" s="78" t="s">
        <v>2031</v>
      </c>
      <c r="B1902" s="76">
        <v>59871</v>
      </c>
      <c r="C1902" s="81">
        <v>0</v>
      </c>
      <c r="D1902" s="82">
        <v>0</v>
      </c>
    </row>
    <row r="1903" spans="1:4" ht="28.5">
      <c r="A1903" s="78" t="s">
        <v>2032</v>
      </c>
      <c r="B1903" s="76">
        <v>59872</v>
      </c>
      <c r="C1903" s="81">
        <v>0</v>
      </c>
      <c r="D1903" s="82">
        <v>0</v>
      </c>
    </row>
    <row r="1904" spans="1:4" ht="28.5">
      <c r="A1904" s="78" t="s">
        <v>2033</v>
      </c>
      <c r="B1904" s="76">
        <v>59878</v>
      </c>
      <c r="C1904" s="81">
        <v>0</v>
      </c>
      <c r="D1904" s="82">
        <v>0</v>
      </c>
    </row>
    <row r="1905" spans="1:4" ht="28.5">
      <c r="A1905" s="78" t="s">
        <v>2034</v>
      </c>
      <c r="B1905" s="76">
        <v>59879</v>
      </c>
      <c r="C1905" s="81">
        <v>0</v>
      </c>
      <c r="D1905" s="82">
        <v>0</v>
      </c>
    </row>
    <row r="1906" spans="1:4">
      <c r="A1906" s="78" t="s">
        <v>2035</v>
      </c>
      <c r="B1906" s="76">
        <v>59900</v>
      </c>
      <c r="C1906" s="81">
        <v>0</v>
      </c>
      <c r="D1906" s="82">
        <v>0</v>
      </c>
    </row>
    <row r="1907" spans="1:4">
      <c r="A1907" s="78" t="s">
        <v>2036</v>
      </c>
      <c r="B1907" s="76">
        <v>59915</v>
      </c>
      <c r="C1907" s="81">
        <v>0</v>
      </c>
      <c r="D1907" s="82">
        <v>0</v>
      </c>
    </row>
    <row r="1908" spans="1:4" ht="42.75">
      <c r="A1908" s="78" t="s">
        <v>2037</v>
      </c>
      <c r="B1908" s="76">
        <v>59916</v>
      </c>
      <c r="C1908" s="81">
        <v>0</v>
      </c>
      <c r="D1908" s="82">
        <v>0</v>
      </c>
    </row>
    <row r="1909" spans="1:4">
      <c r="A1909" s="78" t="s">
        <v>2038</v>
      </c>
      <c r="B1909" s="76">
        <v>59919</v>
      </c>
      <c r="C1909" s="81">
        <v>0</v>
      </c>
      <c r="D1909" s="82">
        <v>0</v>
      </c>
    </row>
    <row r="1910" spans="1:4">
      <c r="A1910" s="78" t="s">
        <v>2039</v>
      </c>
      <c r="B1910" s="76">
        <v>59932</v>
      </c>
      <c r="C1910" s="81">
        <v>0</v>
      </c>
      <c r="D1910" s="82">
        <v>0</v>
      </c>
    </row>
    <row r="1911" spans="1:4">
      <c r="A1911" s="78" t="s">
        <v>2040</v>
      </c>
      <c r="B1911" s="76">
        <v>59939</v>
      </c>
      <c r="C1911" s="81">
        <v>0</v>
      </c>
      <c r="D1911" s="82">
        <v>0</v>
      </c>
    </row>
    <row r="1912" spans="1:4" ht="42.75">
      <c r="A1912" s="78" t="s">
        <v>2041</v>
      </c>
      <c r="B1912" s="76">
        <v>59940</v>
      </c>
      <c r="C1912" s="81">
        <v>0</v>
      </c>
      <c r="D1912" s="82">
        <v>0</v>
      </c>
    </row>
    <row r="1913" spans="1:4" ht="28.5">
      <c r="A1913" s="78" t="s">
        <v>2042</v>
      </c>
      <c r="B1913" s="76">
        <v>59941</v>
      </c>
      <c r="C1913" s="81">
        <v>0</v>
      </c>
      <c r="D1913" s="82">
        <v>0</v>
      </c>
    </row>
    <row r="1914" spans="1:4" ht="28.5">
      <c r="A1914" s="78" t="s">
        <v>2043</v>
      </c>
      <c r="B1914" s="76">
        <v>59942</v>
      </c>
      <c r="C1914" s="81">
        <v>0</v>
      </c>
      <c r="D1914" s="82">
        <v>0</v>
      </c>
    </row>
    <row r="1915" spans="1:4" ht="28.5">
      <c r="A1915" s="78" t="s">
        <v>2044</v>
      </c>
      <c r="B1915" s="76">
        <v>59945</v>
      </c>
      <c r="C1915" s="81">
        <v>0</v>
      </c>
      <c r="D1915" s="82">
        <v>0</v>
      </c>
    </row>
    <row r="1916" spans="1:4" ht="28.5">
      <c r="A1916" s="78" t="s">
        <v>2045</v>
      </c>
      <c r="B1916" s="76">
        <v>59946</v>
      </c>
      <c r="C1916" s="81">
        <v>0</v>
      </c>
      <c r="D1916" s="82">
        <v>0</v>
      </c>
    </row>
    <row r="1917" spans="1:4">
      <c r="A1917" s="78" t="s">
        <v>2046</v>
      </c>
      <c r="B1917" s="76">
        <v>59948</v>
      </c>
      <c r="C1917" s="81">
        <v>0</v>
      </c>
      <c r="D1917" s="82">
        <v>0</v>
      </c>
    </row>
    <row r="1918" spans="1:4">
      <c r="A1918" s="78" t="s">
        <v>2047</v>
      </c>
      <c r="B1918" s="76">
        <v>59958</v>
      </c>
      <c r="C1918" s="81">
        <v>0</v>
      </c>
      <c r="D1918" s="82">
        <v>0</v>
      </c>
    </row>
    <row r="1919" spans="1:4" ht="28.5">
      <c r="A1919" s="78" t="s">
        <v>2048</v>
      </c>
      <c r="B1919" s="76">
        <v>59961</v>
      </c>
      <c r="C1919" s="81">
        <v>0</v>
      </c>
      <c r="D1919" s="82">
        <v>0</v>
      </c>
    </row>
    <row r="1920" spans="1:4" ht="28.5">
      <c r="A1920" s="78" t="s">
        <v>2049</v>
      </c>
      <c r="B1920" s="76">
        <v>59962</v>
      </c>
      <c r="C1920" s="81">
        <v>0</v>
      </c>
      <c r="D1920" s="82">
        <v>0</v>
      </c>
    </row>
    <row r="1921" spans="1:4" ht="28.5">
      <c r="A1921" s="78" t="s">
        <v>2050</v>
      </c>
      <c r="B1921" s="76">
        <v>59963</v>
      </c>
      <c r="C1921" s="81">
        <v>0</v>
      </c>
      <c r="D1921" s="82">
        <v>0</v>
      </c>
    </row>
    <row r="1922" spans="1:4">
      <c r="A1922" s="78" t="s">
        <v>2051</v>
      </c>
      <c r="B1922" s="76">
        <v>59964</v>
      </c>
      <c r="C1922" s="81">
        <v>0</v>
      </c>
      <c r="D1922" s="82">
        <v>0</v>
      </c>
    </row>
    <row r="1923" spans="1:4">
      <c r="A1923" s="78" t="s">
        <v>2052</v>
      </c>
      <c r="B1923" s="76">
        <v>59965</v>
      </c>
      <c r="C1923" s="81">
        <v>0</v>
      </c>
      <c r="D1923" s="82">
        <v>0</v>
      </c>
    </row>
    <row r="1924" spans="1:4" ht="28.5">
      <c r="A1924" s="78" t="s">
        <v>2053</v>
      </c>
      <c r="B1924" s="76">
        <v>59968</v>
      </c>
      <c r="C1924" s="81">
        <v>0</v>
      </c>
      <c r="D1924" s="82">
        <v>0</v>
      </c>
    </row>
    <row r="1925" spans="1:4" ht="42.75">
      <c r="A1925" s="78" t="s">
        <v>2054</v>
      </c>
      <c r="B1925" s="76">
        <v>59974</v>
      </c>
      <c r="C1925" s="81">
        <v>0</v>
      </c>
      <c r="D1925" s="82">
        <v>0</v>
      </c>
    </row>
    <row r="1926" spans="1:4" ht="28.5">
      <c r="A1926" s="78" t="s">
        <v>2055</v>
      </c>
      <c r="B1926" s="76">
        <v>59975</v>
      </c>
      <c r="C1926" s="81">
        <v>0</v>
      </c>
      <c r="D1926" s="82">
        <v>0</v>
      </c>
    </row>
    <row r="1927" spans="1:4">
      <c r="A1927" s="78" t="s">
        <v>2056</v>
      </c>
      <c r="B1927" s="76">
        <v>59976</v>
      </c>
      <c r="C1927" s="81">
        <v>0</v>
      </c>
      <c r="D1927" s="82">
        <v>0</v>
      </c>
    </row>
    <row r="1928" spans="1:4">
      <c r="A1928" s="78" t="s">
        <v>2057</v>
      </c>
      <c r="B1928" s="76">
        <v>59977</v>
      </c>
      <c r="C1928" s="81">
        <v>0</v>
      </c>
      <c r="D1928" s="82">
        <v>0</v>
      </c>
    </row>
    <row r="1929" spans="1:4" ht="28.5">
      <c r="A1929" s="78" t="s">
        <v>2058</v>
      </c>
      <c r="B1929" s="76">
        <v>59978</v>
      </c>
      <c r="C1929" s="81">
        <v>0</v>
      </c>
      <c r="D1929" s="82">
        <v>0</v>
      </c>
    </row>
    <row r="1930" spans="1:4" ht="28.5">
      <c r="A1930" s="78" t="s">
        <v>2059</v>
      </c>
      <c r="B1930" s="76">
        <v>59979</v>
      </c>
      <c r="C1930" s="81">
        <v>0</v>
      </c>
      <c r="D1930" s="82">
        <v>0</v>
      </c>
    </row>
    <row r="1931" spans="1:4">
      <c r="A1931" s="78" t="s">
        <v>2060</v>
      </c>
      <c r="B1931" s="76">
        <v>60007</v>
      </c>
      <c r="C1931" s="81">
        <v>0</v>
      </c>
      <c r="D1931" s="82">
        <v>0</v>
      </c>
    </row>
    <row r="1932" spans="1:4">
      <c r="A1932" s="78" t="s">
        <v>2061</v>
      </c>
      <c r="B1932" s="76">
        <v>60008</v>
      </c>
      <c r="C1932" s="81">
        <v>0</v>
      </c>
      <c r="D1932" s="82">
        <v>0</v>
      </c>
    </row>
    <row r="1933" spans="1:4" ht="28.5">
      <c r="A1933" s="78" t="s">
        <v>2062</v>
      </c>
      <c r="B1933" s="76">
        <v>60023</v>
      </c>
      <c r="C1933" s="81">
        <v>0</v>
      </c>
      <c r="D1933" s="82">
        <v>0</v>
      </c>
    </row>
    <row r="1934" spans="1:4" ht="28.5">
      <c r="A1934" s="78" t="s">
        <v>2063</v>
      </c>
      <c r="B1934" s="76">
        <v>60026</v>
      </c>
      <c r="C1934" s="81">
        <v>0</v>
      </c>
      <c r="D1934" s="82">
        <v>0</v>
      </c>
    </row>
    <row r="1935" spans="1:4">
      <c r="A1935" s="78" t="s">
        <v>2064</v>
      </c>
      <c r="B1935" s="76">
        <v>60027</v>
      </c>
      <c r="C1935" s="81">
        <v>0</v>
      </c>
      <c r="D1935" s="82">
        <v>0</v>
      </c>
    </row>
    <row r="1936" spans="1:4">
      <c r="A1936" s="78" t="s">
        <v>2065</v>
      </c>
      <c r="B1936" s="76">
        <v>60032</v>
      </c>
      <c r="C1936" s="81">
        <v>0</v>
      </c>
      <c r="D1936" s="82">
        <v>0</v>
      </c>
    </row>
    <row r="1937" spans="1:4" ht="28.5">
      <c r="A1937" s="78" t="s">
        <v>2066</v>
      </c>
      <c r="B1937" s="76">
        <v>60033</v>
      </c>
      <c r="C1937" s="81">
        <v>0</v>
      </c>
      <c r="D1937" s="82">
        <v>0</v>
      </c>
    </row>
    <row r="1938" spans="1:4" ht="28.5">
      <c r="A1938" s="78" t="s">
        <v>2067</v>
      </c>
      <c r="B1938" s="76">
        <v>60034</v>
      </c>
      <c r="C1938" s="81">
        <v>0</v>
      </c>
      <c r="D1938" s="82">
        <v>0</v>
      </c>
    </row>
    <row r="1939" spans="1:4" ht="42.75">
      <c r="A1939" s="78" t="s">
        <v>2068</v>
      </c>
      <c r="B1939" s="76">
        <v>60035</v>
      </c>
      <c r="C1939" s="81">
        <v>0</v>
      </c>
      <c r="D1939" s="82">
        <v>0</v>
      </c>
    </row>
    <row r="1940" spans="1:4">
      <c r="A1940" s="78" t="s">
        <v>2069</v>
      </c>
      <c r="B1940" s="76">
        <v>60039</v>
      </c>
      <c r="C1940" s="81">
        <v>0</v>
      </c>
      <c r="D1940" s="82">
        <v>0</v>
      </c>
    </row>
    <row r="1941" spans="1:4" ht="28.5">
      <c r="A1941" s="78" t="s">
        <v>2070</v>
      </c>
      <c r="B1941" s="76">
        <v>60043</v>
      </c>
      <c r="C1941" s="81">
        <v>0</v>
      </c>
      <c r="D1941" s="82">
        <v>0</v>
      </c>
    </row>
    <row r="1942" spans="1:4">
      <c r="A1942" s="78" t="s">
        <v>2071</v>
      </c>
      <c r="B1942" s="76">
        <v>60049</v>
      </c>
      <c r="C1942" s="81">
        <v>0</v>
      </c>
      <c r="D1942" s="82">
        <v>0</v>
      </c>
    </row>
    <row r="1943" spans="1:4" ht="28.5">
      <c r="A1943" s="78" t="s">
        <v>2072</v>
      </c>
      <c r="B1943" s="76">
        <v>60057</v>
      </c>
      <c r="C1943" s="81">
        <v>0</v>
      </c>
      <c r="D1943" s="82">
        <v>0</v>
      </c>
    </row>
    <row r="1944" spans="1:4" ht="28.5">
      <c r="A1944" s="78" t="s">
        <v>2073</v>
      </c>
      <c r="B1944" s="76">
        <v>60060</v>
      </c>
      <c r="C1944" s="81">
        <v>0</v>
      </c>
      <c r="D1944" s="82">
        <v>0</v>
      </c>
    </row>
    <row r="1945" spans="1:4">
      <c r="A1945" s="78" t="s">
        <v>2074</v>
      </c>
      <c r="B1945" s="76">
        <v>60062</v>
      </c>
      <c r="C1945" s="81">
        <v>0</v>
      </c>
      <c r="D1945" s="82">
        <v>0</v>
      </c>
    </row>
    <row r="1946" spans="1:4">
      <c r="A1946" s="78" t="s">
        <v>2075</v>
      </c>
      <c r="B1946" s="76">
        <v>60077</v>
      </c>
      <c r="C1946" s="81">
        <v>0</v>
      </c>
      <c r="D1946" s="82">
        <v>0</v>
      </c>
    </row>
    <row r="1947" spans="1:4">
      <c r="A1947" s="78" t="s">
        <v>2076</v>
      </c>
      <c r="B1947" s="76">
        <v>60078</v>
      </c>
      <c r="C1947" s="81">
        <v>0</v>
      </c>
      <c r="D1947" s="82">
        <v>0</v>
      </c>
    </row>
    <row r="1948" spans="1:4">
      <c r="A1948" s="78" t="s">
        <v>2077</v>
      </c>
      <c r="B1948" s="76">
        <v>60079</v>
      </c>
      <c r="C1948" s="81">
        <v>0</v>
      </c>
      <c r="D1948" s="82">
        <v>0</v>
      </c>
    </row>
    <row r="1949" spans="1:4">
      <c r="A1949" s="78" t="s">
        <v>2078</v>
      </c>
      <c r="B1949" s="76">
        <v>60080</v>
      </c>
      <c r="C1949" s="81">
        <v>0</v>
      </c>
      <c r="D1949" s="82">
        <v>0</v>
      </c>
    </row>
    <row r="1950" spans="1:4">
      <c r="A1950" s="78" t="s">
        <v>2079</v>
      </c>
      <c r="B1950" s="76">
        <v>60081</v>
      </c>
      <c r="C1950" s="81">
        <v>0</v>
      </c>
      <c r="D1950" s="82">
        <v>0</v>
      </c>
    </row>
    <row r="1951" spans="1:4">
      <c r="A1951" s="78" t="s">
        <v>2080</v>
      </c>
      <c r="B1951" s="76">
        <v>60083</v>
      </c>
      <c r="C1951" s="81">
        <v>0</v>
      </c>
      <c r="D1951" s="82">
        <v>0</v>
      </c>
    </row>
    <row r="1952" spans="1:4">
      <c r="A1952" s="78" t="s">
        <v>2081</v>
      </c>
      <c r="B1952" s="76">
        <v>60085</v>
      </c>
      <c r="C1952" s="81">
        <v>0</v>
      </c>
      <c r="D1952" s="82">
        <v>0</v>
      </c>
    </row>
    <row r="1953" spans="1:4" ht="28.5">
      <c r="A1953" s="78" t="s">
        <v>2082</v>
      </c>
      <c r="B1953" s="76">
        <v>60086</v>
      </c>
      <c r="C1953" s="81">
        <v>0</v>
      </c>
      <c r="D1953" s="82">
        <v>0</v>
      </c>
    </row>
    <row r="1954" spans="1:4" ht="28.5">
      <c r="A1954" s="78" t="s">
        <v>2083</v>
      </c>
      <c r="B1954" s="76">
        <v>60091</v>
      </c>
      <c r="C1954" s="81">
        <v>0</v>
      </c>
      <c r="D1954" s="82">
        <v>0</v>
      </c>
    </row>
    <row r="1955" spans="1:4" ht="28.5">
      <c r="A1955" s="78" t="s">
        <v>2084</v>
      </c>
      <c r="B1955" s="76">
        <v>60092</v>
      </c>
      <c r="C1955" s="81">
        <v>0</v>
      </c>
      <c r="D1955" s="82">
        <v>0</v>
      </c>
    </row>
    <row r="1956" spans="1:4" ht="28.5">
      <c r="A1956" s="78" t="s">
        <v>2085</v>
      </c>
      <c r="B1956" s="76">
        <v>60093</v>
      </c>
      <c r="C1956" s="81">
        <v>0</v>
      </c>
      <c r="D1956" s="82">
        <v>0</v>
      </c>
    </row>
    <row r="1957" spans="1:4" ht="28.5">
      <c r="A1957" s="78" t="s">
        <v>2086</v>
      </c>
      <c r="B1957" s="76">
        <v>60094</v>
      </c>
      <c r="C1957" s="81">
        <v>0</v>
      </c>
      <c r="D1957" s="82">
        <v>0</v>
      </c>
    </row>
    <row r="1958" spans="1:4" ht="28.5">
      <c r="A1958" s="78" t="s">
        <v>2087</v>
      </c>
      <c r="B1958" s="76">
        <v>60095</v>
      </c>
      <c r="C1958" s="81">
        <v>0</v>
      </c>
      <c r="D1958" s="82">
        <v>0</v>
      </c>
    </row>
    <row r="1959" spans="1:4" ht="28.5">
      <c r="A1959" s="78" t="s">
        <v>2088</v>
      </c>
      <c r="B1959" s="76">
        <v>60112</v>
      </c>
      <c r="C1959" s="81">
        <v>0</v>
      </c>
      <c r="D1959" s="82">
        <v>0</v>
      </c>
    </row>
    <row r="1960" spans="1:4">
      <c r="A1960" s="78" t="s">
        <v>2089</v>
      </c>
      <c r="B1960" s="76">
        <v>60119</v>
      </c>
      <c r="C1960" s="81">
        <v>0</v>
      </c>
      <c r="D1960" s="82">
        <v>0</v>
      </c>
    </row>
    <row r="1961" spans="1:4">
      <c r="A1961" s="78" t="s">
        <v>2090</v>
      </c>
      <c r="B1961" s="76">
        <v>60142</v>
      </c>
      <c r="C1961" s="81">
        <v>0</v>
      </c>
      <c r="D1961" s="82">
        <v>0</v>
      </c>
    </row>
    <row r="1962" spans="1:4" ht="28.5">
      <c r="A1962" s="78" t="s">
        <v>2091</v>
      </c>
      <c r="B1962" s="76">
        <v>60143</v>
      </c>
      <c r="C1962" s="81">
        <v>0</v>
      </c>
      <c r="D1962" s="82">
        <v>0</v>
      </c>
    </row>
    <row r="1963" spans="1:4">
      <c r="A1963" s="78" t="s">
        <v>2092</v>
      </c>
      <c r="B1963" s="76">
        <v>60151</v>
      </c>
      <c r="C1963" s="81">
        <v>0</v>
      </c>
      <c r="D1963" s="82">
        <v>0</v>
      </c>
    </row>
    <row r="1964" spans="1:4">
      <c r="A1964" s="78" t="s">
        <v>2093</v>
      </c>
      <c r="B1964" s="76">
        <v>60153</v>
      </c>
      <c r="C1964" s="81">
        <v>0</v>
      </c>
      <c r="D1964" s="82">
        <v>0</v>
      </c>
    </row>
    <row r="1965" spans="1:4">
      <c r="A1965" s="78" t="s">
        <v>2094</v>
      </c>
      <c r="B1965" s="76">
        <v>60154</v>
      </c>
      <c r="C1965" s="81">
        <v>0</v>
      </c>
      <c r="D1965" s="82">
        <v>0</v>
      </c>
    </row>
    <row r="1966" spans="1:4">
      <c r="A1966" s="78" t="s">
        <v>2095</v>
      </c>
      <c r="B1966" s="76">
        <v>60182</v>
      </c>
      <c r="C1966" s="81">
        <v>0</v>
      </c>
      <c r="D1966" s="82">
        <v>0</v>
      </c>
    </row>
    <row r="1967" spans="1:4">
      <c r="A1967" s="78" t="s">
        <v>2096</v>
      </c>
      <c r="B1967" s="76">
        <v>60183</v>
      </c>
      <c r="C1967" s="81">
        <v>0</v>
      </c>
      <c r="D1967" s="82">
        <v>0</v>
      </c>
    </row>
    <row r="1968" spans="1:4">
      <c r="A1968" s="78" t="s">
        <v>2097</v>
      </c>
      <c r="B1968" s="76">
        <v>60185</v>
      </c>
      <c r="C1968" s="81">
        <v>0</v>
      </c>
      <c r="D1968" s="82">
        <v>0</v>
      </c>
    </row>
    <row r="1969" spans="1:4">
      <c r="A1969" s="78" t="s">
        <v>2098</v>
      </c>
      <c r="B1969" s="76">
        <v>60186</v>
      </c>
      <c r="C1969" s="81">
        <v>0</v>
      </c>
      <c r="D1969" s="82">
        <v>0</v>
      </c>
    </row>
    <row r="1970" spans="1:4">
      <c r="A1970" s="78" t="s">
        <v>2099</v>
      </c>
      <c r="B1970" s="76">
        <v>60187</v>
      </c>
      <c r="C1970" s="81">
        <v>0</v>
      </c>
      <c r="D1970" s="82">
        <v>0</v>
      </c>
    </row>
    <row r="1971" spans="1:4" ht="28.5">
      <c r="A1971" s="78" t="s">
        <v>2100</v>
      </c>
      <c r="B1971" s="76">
        <v>60193</v>
      </c>
      <c r="C1971" s="81">
        <v>0</v>
      </c>
      <c r="D1971" s="82">
        <v>0</v>
      </c>
    </row>
    <row r="1972" spans="1:4" ht="28.5">
      <c r="A1972" s="78" t="s">
        <v>2101</v>
      </c>
      <c r="B1972" s="76">
        <v>60195</v>
      </c>
      <c r="C1972" s="81">
        <v>0</v>
      </c>
      <c r="D1972" s="82">
        <v>0</v>
      </c>
    </row>
    <row r="1973" spans="1:4" ht="28.5">
      <c r="A1973" s="78" t="s">
        <v>2102</v>
      </c>
      <c r="B1973" s="76">
        <v>60196</v>
      </c>
      <c r="C1973" s="81">
        <v>0</v>
      </c>
      <c r="D1973" s="82">
        <v>0</v>
      </c>
    </row>
    <row r="1974" spans="1:4" ht="28.5">
      <c r="A1974" s="78" t="s">
        <v>2103</v>
      </c>
      <c r="B1974" s="76">
        <v>60197</v>
      </c>
      <c r="C1974" s="81">
        <v>0</v>
      </c>
      <c r="D1974" s="82">
        <v>0</v>
      </c>
    </row>
    <row r="1975" spans="1:4" ht="42.75">
      <c r="A1975" s="78" t="s">
        <v>2104</v>
      </c>
      <c r="B1975" s="76">
        <v>60198</v>
      </c>
      <c r="C1975" s="81">
        <v>0</v>
      </c>
      <c r="D1975" s="82">
        <v>0</v>
      </c>
    </row>
    <row r="1976" spans="1:4">
      <c r="A1976" s="78" t="s">
        <v>2105</v>
      </c>
      <c r="B1976" s="76">
        <v>60219</v>
      </c>
      <c r="C1976" s="81">
        <v>0</v>
      </c>
      <c r="D1976" s="82">
        <v>0</v>
      </c>
    </row>
    <row r="1977" spans="1:4" ht="28.5">
      <c r="A1977" s="78" t="s">
        <v>2106</v>
      </c>
      <c r="B1977" s="76">
        <v>60226</v>
      </c>
      <c r="C1977" s="81">
        <v>0</v>
      </c>
      <c r="D1977" s="82">
        <v>0</v>
      </c>
    </row>
    <row r="1978" spans="1:4" ht="28.5">
      <c r="A1978" s="78" t="s">
        <v>2107</v>
      </c>
      <c r="B1978" s="76">
        <v>60230</v>
      </c>
      <c r="C1978" s="81">
        <v>0</v>
      </c>
      <c r="D1978" s="82">
        <v>0</v>
      </c>
    </row>
    <row r="1979" spans="1:4" ht="28.5">
      <c r="A1979" s="78" t="s">
        <v>2108</v>
      </c>
      <c r="B1979" s="76">
        <v>60231</v>
      </c>
      <c r="C1979" s="81">
        <v>0</v>
      </c>
      <c r="D1979" s="82">
        <v>0</v>
      </c>
    </row>
    <row r="1980" spans="1:4">
      <c r="A1980" s="78" t="s">
        <v>2109</v>
      </c>
      <c r="B1980" s="76">
        <v>60233</v>
      </c>
      <c r="C1980" s="81">
        <v>0</v>
      </c>
      <c r="D1980" s="82">
        <v>0</v>
      </c>
    </row>
    <row r="1981" spans="1:4" ht="28.5">
      <c r="A1981" s="78" t="s">
        <v>2110</v>
      </c>
      <c r="B1981" s="76">
        <v>60237</v>
      </c>
      <c r="C1981" s="81">
        <v>0</v>
      </c>
      <c r="D1981" s="82">
        <v>0</v>
      </c>
    </row>
    <row r="1982" spans="1:4" ht="28.5">
      <c r="A1982" s="78" t="s">
        <v>2111</v>
      </c>
      <c r="B1982" s="76">
        <v>60242</v>
      </c>
      <c r="C1982" s="81">
        <v>0</v>
      </c>
      <c r="D1982" s="82">
        <v>0</v>
      </c>
    </row>
    <row r="1983" spans="1:4">
      <c r="A1983" s="78" t="s">
        <v>2112</v>
      </c>
      <c r="B1983" s="76">
        <v>60247</v>
      </c>
      <c r="C1983" s="81">
        <v>0</v>
      </c>
      <c r="D1983" s="82">
        <v>0</v>
      </c>
    </row>
    <row r="1984" spans="1:4">
      <c r="A1984" s="78" t="s">
        <v>2113</v>
      </c>
      <c r="B1984" s="76">
        <v>60248</v>
      </c>
      <c r="C1984" s="81">
        <v>0</v>
      </c>
      <c r="D1984" s="82">
        <v>0</v>
      </c>
    </row>
    <row r="1985" spans="1:4" ht="28.5">
      <c r="A1985" s="78" t="s">
        <v>2114</v>
      </c>
      <c r="B1985" s="76">
        <v>60255</v>
      </c>
      <c r="C1985" s="81">
        <v>0</v>
      </c>
      <c r="D1985" s="82">
        <v>0</v>
      </c>
    </row>
    <row r="1986" spans="1:4">
      <c r="A1986" s="78" t="s">
        <v>2115</v>
      </c>
      <c r="B1986" s="76">
        <v>60258</v>
      </c>
      <c r="C1986" s="81">
        <v>0</v>
      </c>
      <c r="D1986" s="82">
        <v>0</v>
      </c>
    </row>
    <row r="1987" spans="1:4" ht="28.5">
      <c r="A1987" s="78" t="s">
        <v>2116</v>
      </c>
      <c r="B1987" s="76">
        <v>60259</v>
      </c>
      <c r="C1987" s="81">
        <v>0</v>
      </c>
      <c r="D1987" s="82">
        <v>0</v>
      </c>
    </row>
    <row r="1988" spans="1:4">
      <c r="A1988" s="78" t="s">
        <v>2117</v>
      </c>
      <c r="B1988" s="76">
        <v>60261</v>
      </c>
      <c r="C1988" s="81">
        <v>0</v>
      </c>
      <c r="D1988" s="82">
        <v>0</v>
      </c>
    </row>
    <row r="1989" spans="1:4" ht="28.5">
      <c r="A1989" s="78" t="s">
        <v>2118</v>
      </c>
      <c r="B1989" s="76">
        <v>60275</v>
      </c>
      <c r="C1989" s="81">
        <v>0</v>
      </c>
      <c r="D1989" s="82">
        <v>0</v>
      </c>
    </row>
    <row r="1990" spans="1:4">
      <c r="A1990" s="78" t="s">
        <v>2119</v>
      </c>
      <c r="B1990" s="76">
        <v>60277</v>
      </c>
      <c r="C1990" s="81">
        <v>0</v>
      </c>
      <c r="D1990" s="82">
        <v>0</v>
      </c>
    </row>
    <row r="1991" spans="1:4" ht="28.5">
      <c r="A1991" s="78" t="s">
        <v>2120</v>
      </c>
      <c r="B1991" s="76">
        <v>60279</v>
      </c>
      <c r="C1991" s="81">
        <v>0</v>
      </c>
      <c r="D1991" s="82">
        <v>0</v>
      </c>
    </row>
    <row r="1992" spans="1:4" ht="28.5">
      <c r="A1992" s="78" t="s">
        <v>2121</v>
      </c>
      <c r="B1992" s="76">
        <v>60280</v>
      </c>
      <c r="C1992" s="81">
        <v>0</v>
      </c>
      <c r="D1992" s="82">
        <v>0</v>
      </c>
    </row>
    <row r="1993" spans="1:4" ht="28.5">
      <c r="A1993" s="78" t="s">
        <v>2122</v>
      </c>
      <c r="B1993" s="76">
        <v>60281</v>
      </c>
      <c r="C1993" s="81">
        <v>0</v>
      </c>
      <c r="D1993" s="82">
        <v>0</v>
      </c>
    </row>
    <row r="1994" spans="1:4">
      <c r="A1994" s="78" t="s">
        <v>2123</v>
      </c>
      <c r="B1994" s="76">
        <v>60283</v>
      </c>
      <c r="C1994" s="81">
        <v>0</v>
      </c>
      <c r="D1994" s="82">
        <v>0</v>
      </c>
    </row>
    <row r="1995" spans="1:4">
      <c r="A1995" s="78" t="s">
        <v>2124</v>
      </c>
      <c r="B1995" s="76">
        <v>60285</v>
      </c>
      <c r="C1995" s="81">
        <v>0</v>
      </c>
      <c r="D1995" s="82">
        <v>0</v>
      </c>
    </row>
    <row r="1996" spans="1:4" ht="28.5">
      <c r="A1996" s="78" t="s">
        <v>2125</v>
      </c>
      <c r="B1996" s="76">
        <v>60300</v>
      </c>
      <c r="C1996" s="81">
        <v>0</v>
      </c>
      <c r="D1996" s="82">
        <v>0</v>
      </c>
    </row>
    <row r="1997" spans="1:4" ht="28.5">
      <c r="A1997" s="78" t="s">
        <v>2126</v>
      </c>
      <c r="B1997" s="76">
        <v>60301</v>
      </c>
      <c r="C1997" s="81">
        <v>0</v>
      </c>
      <c r="D1997" s="82">
        <v>0</v>
      </c>
    </row>
    <row r="1998" spans="1:4" ht="28.5">
      <c r="A1998" s="78" t="s">
        <v>2127</v>
      </c>
      <c r="B1998" s="76">
        <v>60304</v>
      </c>
      <c r="C1998" s="81">
        <v>0</v>
      </c>
      <c r="D1998" s="82">
        <v>0</v>
      </c>
    </row>
    <row r="1999" spans="1:4" ht="28.5">
      <c r="A1999" s="78" t="s">
        <v>2128</v>
      </c>
      <c r="B1999" s="76">
        <v>60308</v>
      </c>
      <c r="C1999" s="81">
        <v>0</v>
      </c>
      <c r="D1999" s="82">
        <v>0</v>
      </c>
    </row>
    <row r="2000" spans="1:4" ht="28.5">
      <c r="A2000" s="78" t="s">
        <v>2129</v>
      </c>
      <c r="B2000" s="76">
        <v>60310</v>
      </c>
      <c r="C2000" s="81">
        <v>0</v>
      </c>
      <c r="D2000" s="82">
        <v>0</v>
      </c>
    </row>
    <row r="2001" spans="1:4" ht="28.5">
      <c r="A2001" s="78" t="s">
        <v>2130</v>
      </c>
      <c r="B2001" s="76">
        <v>60311</v>
      </c>
      <c r="C2001" s="81">
        <v>0</v>
      </c>
      <c r="D2001" s="82">
        <v>0</v>
      </c>
    </row>
    <row r="2002" spans="1:4" ht="28.5">
      <c r="A2002" s="78" t="s">
        <v>2131</v>
      </c>
      <c r="B2002" s="76">
        <v>60315</v>
      </c>
      <c r="C2002" s="81">
        <v>0</v>
      </c>
      <c r="D2002" s="82">
        <v>0</v>
      </c>
    </row>
    <row r="2003" spans="1:4" ht="42.75">
      <c r="A2003" s="78" t="s">
        <v>2132</v>
      </c>
      <c r="B2003" s="76">
        <v>60317</v>
      </c>
      <c r="C2003" s="81">
        <v>0</v>
      </c>
      <c r="D2003" s="82">
        <v>0</v>
      </c>
    </row>
    <row r="2004" spans="1:4" ht="42.75">
      <c r="A2004" s="78" t="s">
        <v>2133</v>
      </c>
      <c r="B2004" s="76">
        <v>60320</v>
      </c>
      <c r="C2004" s="81">
        <v>0</v>
      </c>
      <c r="D2004" s="82">
        <v>0</v>
      </c>
    </row>
    <row r="2005" spans="1:4" ht="28.5">
      <c r="A2005" s="78" t="s">
        <v>2134</v>
      </c>
      <c r="B2005" s="76">
        <v>60324</v>
      </c>
      <c r="C2005" s="81">
        <v>0</v>
      </c>
      <c r="D2005" s="82">
        <v>0</v>
      </c>
    </row>
    <row r="2006" spans="1:4" ht="28.5">
      <c r="A2006" s="78" t="s">
        <v>2135</v>
      </c>
      <c r="B2006" s="76">
        <v>60330</v>
      </c>
      <c r="C2006" s="81">
        <v>0</v>
      </c>
      <c r="D2006" s="82">
        <v>0</v>
      </c>
    </row>
    <row r="2007" spans="1:4" ht="28.5">
      <c r="A2007" s="78" t="s">
        <v>2136</v>
      </c>
      <c r="B2007" s="76">
        <v>60331</v>
      </c>
      <c r="C2007" s="81">
        <v>0</v>
      </c>
      <c r="D2007" s="82">
        <v>0</v>
      </c>
    </row>
    <row r="2008" spans="1:4" ht="28.5">
      <c r="A2008" s="78" t="s">
        <v>2137</v>
      </c>
      <c r="B2008" s="76">
        <v>60332</v>
      </c>
      <c r="C2008" s="81">
        <v>0</v>
      </c>
      <c r="D2008" s="82">
        <v>0</v>
      </c>
    </row>
    <row r="2009" spans="1:4" ht="28.5">
      <c r="A2009" s="78" t="s">
        <v>2138</v>
      </c>
      <c r="B2009" s="76">
        <v>60333</v>
      </c>
      <c r="C2009" s="81">
        <v>0</v>
      </c>
      <c r="D2009" s="82">
        <v>0</v>
      </c>
    </row>
    <row r="2010" spans="1:4" ht="28.5">
      <c r="A2010" s="78" t="s">
        <v>2139</v>
      </c>
      <c r="B2010" s="76">
        <v>60334</v>
      </c>
      <c r="C2010" s="81">
        <v>0</v>
      </c>
      <c r="D2010" s="82">
        <v>0</v>
      </c>
    </row>
    <row r="2011" spans="1:4" ht="28.5">
      <c r="A2011" s="78" t="s">
        <v>2140</v>
      </c>
      <c r="B2011" s="76">
        <v>60335</v>
      </c>
      <c r="C2011" s="81">
        <v>0</v>
      </c>
      <c r="D2011" s="82">
        <v>0</v>
      </c>
    </row>
    <row r="2012" spans="1:4" ht="28.5">
      <c r="A2012" s="78" t="s">
        <v>2141</v>
      </c>
      <c r="B2012" s="76">
        <v>60336</v>
      </c>
      <c r="C2012" s="81">
        <v>0</v>
      </c>
      <c r="D2012" s="82">
        <v>0</v>
      </c>
    </row>
    <row r="2013" spans="1:4" ht="28.5">
      <c r="A2013" s="78" t="s">
        <v>2142</v>
      </c>
      <c r="B2013" s="76">
        <v>60350</v>
      </c>
      <c r="C2013" s="81">
        <v>0</v>
      </c>
      <c r="D2013" s="82">
        <v>0</v>
      </c>
    </row>
    <row r="2014" spans="1:4">
      <c r="A2014" s="78" t="s">
        <v>2143</v>
      </c>
      <c r="B2014" s="76">
        <v>60351</v>
      </c>
      <c r="C2014" s="81">
        <v>0</v>
      </c>
      <c r="D2014" s="82">
        <v>0</v>
      </c>
    </row>
    <row r="2015" spans="1:4" ht="28.5">
      <c r="A2015" s="78" t="s">
        <v>2144</v>
      </c>
      <c r="B2015" s="76">
        <v>60352</v>
      </c>
      <c r="C2015" s="81">
        <v>0</v>
      </c>
      <c r="D2015" s="82">
        <v>0</v>
      </c>
    </row>
    <row r="2016" spans="1:4">
      <c r="A2016" s="78" t="s">
        <v>2145</v>
      </c>
      <c r="B2016" s="76">
        <v>60381</v>
      </c>
      <c r="C2016" s="81">
        <v>0</v>
      </c>
      <c r="D2016" s="82">
        <v>0</v>
      </c>
    </row>
    <row r="2017" spans="1:4">
      <c r="A2017" s="78" t="s">
        <v>2146</v>
      </c>
      <c r="B2017" s="76">
        <v>60386</v>
      </c>
      <c r="C2017" s="81">
        <v>0</v>
      </c>
      <c r="D2017" s="82">
        <v>0</v>
      </c>
    </row>
    <row r="2018" spans="1:4" ht="28.5">
      <c r="A2018" s="78" t="s">
        <v>2147</v>
      </c>
      <c r="B2018" s="76">
        <v>60389</v>
      </c>
      <c r="C2018" s="81">
        <v>0</v>
      </c>
      <c r="D2018" s="82">
        <v>0</v>
      </c>
    </row>
    <row r="2019" spans="1:4">
      <c r="A2019" s="78" t="s">
        <v>2148</v>
      </c>
      <c r="B2019" s="76">
        <v>60412</v>
      </c>
      <c r="C2019" s="81">
        <v>0</v>
      </c>
      <c r="D2019" s="82">
        <v>0</v>
      </c>
    </row>
    <row r="2020" spans="1:4">
      <c r="A2020" s="78" t="s">
        <v>2149</v>
      </c>
      <c r="B2020" s="76">
        <v>60413</v>
      </c>
      <c r="C2020" s="81">
        <v>0</v>
      </c>
      <c r="D2020" s="82">
        <v>0</v>
      </c>
    </row>
    <row r="2021" spans="1:4" ht="42.75">
      <c r="A2021" s="78" t="s">
        <v>2150</v>
      </c>
      <c r="B2021" s="76">
        <v>60418</v>
      </c>
      <c r="C2021" s="81">
        <v>0</v>
      </c>
      <c r="D2021" s="82">
        <v>0</v>
      </c>
    </row>
    <row r="2022" spans="1:4">
      <c r="A2022" s="78" t="s">
        <v>2151</v>
      </c>
      <c r="B2022" s="76">
        <v>60426</v>
      </c>
      <c r="C2022" s="81">
        <v>0</v>
      </c>
      <c r="D2022" s="82">
        <v>0</v>
      </c>
    </row>
    <row r="2023" spans="1:4" ht="42.75">
      <c r="A2023" s="78" t="s">
        <v>2152</v>
      </c>
      <c r="B2023" s="76">
        <v>60428</v>
      </c>
      <c r="C2023" s="81">
        <v>0</v>
      </c>
      <c r="D2023" s="82">
        <v>0</v>
      </c>
    </row>
    <row r="2024" spans="1:4" ht="28.5">
      <c r="A2024" s="78" t="s">
        <v>2153</v>
      </c>
      <c r="B2024" s="76">
        <v>60432</v>
      </c>
      <c r="C2024" s="81">
        <v>0</v>
      </c>
      <c r="D2024" s="82">
        <v>0</v>
      </c>
    </row>
    <row r="2025" spans="1:4">
      <c r="A2025" s="78" t="s">
        <v>2154</v>
      </c>
      <c r="B2025" s="76">
        <v>60446</v>
      </c>
      <c r="C2025" s="81">
        <v>0</v>
      </c>
      <c r="D2025" s="82">
        <v>0</v>
      </c>
    </row>
    <row r="2026" spans="1:4" ht="28.5">
      <c r="A2026" s="78" t="s">
        <v>2155</v>
      </c>
      <c r="B2026" s="76">
        <v>60449</v>
      </c>
      <c r="C2026" s="81">
        <v>0</v>
      </c>
      <c r="D2026" s="82">
        <v>0</v>
      </c>
    </row>
    <row r="2027" spans="1:4">
      <c r="A2027" s="78" t="s">
        <v>2156</v>
      </c>
      <c r="B2027" s="76">
        <v>60450</v>
      </c>
      <c r="C2027" s="81">
        <v>0</v>
      </c>
      <c r="D2027" s="82">
        <v>0</v>
      </c>
    </row>
    <row r="2028" spans="1:4" ht="42.75">
      <c r="A2028" s="78" t="s">
        <v>2157</v>
      </c>
      <c r="B2028" s="76">
        <v>60466</v>
      </c>
      <c r="C2028" s="81">
        <v>0</v>
      </c>
      <c r="D2028" s="82">
        <v>0</v>
      </c>
    </row>
    <row r="2029" spans="1:4" ht="28.5">
      <c r="A2029" s="78" t="s">
        <v>2158</v>
      </c>
      <c r="B2029" s="76">
        <v>60474</v>
      </c>
      <c r="C2029" s="81">
        <v>0</v>
      </c>
      <c r="D2029" s="82">
        <v>0</v>
      </c>
    </row>
    <row r="2030" spans="1:4" ht="28.5">
      <c r="A2030" s="78" t="s">
        <v>2159</v>
      </c>
      <c r="B2030" s="76">
        <v>60475</v>
      </c>
      <c r="C2030" s="81">
        <v>0</v>
      </c>
      <c r="D2030" s="82">
        <v>0</v>
      </c>
    </row>
    <row r="2031" spans="1:4" ht="28.5">
      <c r="A2031" s="78" t="s">
        <v>2160</v>
      </c>
      <c r="B2031" s="76">
        <v>60481</v>
      </c>
      <c r="C2031" s="81">
        <v>0</v>
      </c>
      <c r="D2031" s="82">
        <v>0</v>
      </c>
    </row>
    <row r="2032" spans="1:4" ht="28.5">
      <c r="A2032" s="78" t="s">
        <v>2161</v>
      </c>
      <c r="B2032" s="76">
        <v>60485</v>
      </c>
      <c r="C2032" s="81">
        <v>0</v>
      </c>
      <c r="D2032" s="82">
        <v>0</v>
      </c>
    </row>
    <row r="2033" spans="1:4" ht="28.5">
      <c r="A2033" s="78" t="s">
        <v>2162</v>
      </c>
      <c r="B2033" s="76">
        <v>60486</v>
      </c>
      <c r="C2033" s="81">
        <v>0</v>
      </c>
      <c r="D2033" s="82">
        <v>0</v>
      </c>
    </row>
    <row r="2034" spans="1:4" ht="28.5">
      <c r="A2034" s="78" t="s">
        <v>2163</v>
      </c>
      <c r="B2034" s="76">
        <v>60490</v>
      </c>
      <c r="C2034" s="81">
        <v>0</v>
      </c>
      <c r="D2034" s="82">
        <v>0</v>
      </c>
    </row>
    <row r="2035" spans="1:4" ht="28.5">
      <c r="A2035" s="78" t="s">
        <v>2164</v>
      </c>
      <c r="B2035" s="76">
        <v>60491</v>
      </c>
      <c r="C2035" s="81">
        <v>0</v>
      </c>
      <c r="D2035" s="82">
        <v>0</v>
      </c>
    </row>
    <row r="2036" spans="1:4">
      <c r="A2036" s="78" t="s">
        <v>2165</v>
      </c>
      <c r="B2036" s="76">
        <v>60497</v>
      </c>
      <c r="C2036" s="81">
        <v>0</v>
      </c>
      <c r="D2036" s="82">
        <v>0</v>
      </c>
    </row>
    <row r="2037" spans="1:4">
      <c r="A2037" s="78" t="s">
        <v>2166</v>
      </c>
      <c r="B2037" s="76">
        <v>60509</v>
      </c>
      <c r="C2037" s="81">
        <v>0</v>
      </c>
      <c r="D2037" s="82">
        <v>0</v>
      </c>
    </row>
    <row r="2038" spans="1:4" ht="28.5">
      <c r="A2038" s="78" t="s">
        <v>2167</v>
      </c>
      <c r="B2038" s="76">
        <v>60511</v>
      </c>
      <c r="C2038" s="81">
        <v>0</v>
      </c>
      <c r="D2038" s="82">
        <v>0</v>
      </c>
    </row>
    <row r="2039" spans="1:4">
      <c r="A2039" s="78" t="s">
        <v>2168</v>
      </c>
      <c r="B2039" s="76">
        <v>60516</v>
      </c>
      <c r="C2039" s="81">
        <v>0</v>
      </c>
      <c r="D2039" s="82">
        <v>0</v>
      </c>
    </row>
    <row r="2040" spans="1:4" ht="42.75">
      <c r="A2040" s="78" t="s">
        <v>2169</v>
      </c>
      <c r="B2040" s="76">
        <v>60517</v>
      </c>
      <c r="C2040" s="81">
        <v>0</v>
      </c>
      <c r="D2040" s="82">
        <v>0</v>
      </c>
    </row>
    <row r="2041" spans="1:4" ht="28.5">
      <c r="A2041" s="78" t="s">
        <v>2170</v>
      </c>
      <c r="B2041" s="76">
        <v>60548</v>
      </c>
      <c r="C2041" s="81">
        <v>0</v>
      </c>
      <c r="D2041" s="82">
        <v>0</v>
      </c>
    </row>
    <row r="2042" spans="1:4">
      <c r="A2042" s="78" t="s">
        <v>2171</v>
      </c>
      <c r="B2042" s="76">
        <v>60558</v>
      </c>
      <c r="C2042" s="81">
        <v>0</v>
      </c>
      <c r="D2042" s="82">
        <v>0</v>
      </c>
    </row>
    <row r="2043" spans="1:4">
      <c r="A2043" s="78" t="s">
        <v>2172</v>
      </c>
      <c r="B2043" s="76">
        <v>60572</v>
      </c>
      <c r="C2043" s="81">
        <v>0</v>
      </c>
      <c r="D2043" s="82">
        <v>0</v>
      </c>
    </row>
    <row r="2044" spans="1:4" ht="28.5">
      <c r="A2044" s="78" t="s">
        <v>2173</v>
      </c>
      <c r="B2044" s="76">
        <v>60590</v>
      </c>
      <c r="C2044" s="81">
        <v>0</v>
      </c>
      <c r="D2044" s="82">
        <v>0</v>
      </c>
    </row>
    <row r="2045" spans="1:4" ht="42.75">
      <c r="A2045" s="78" t="s">
        <v>2174</v>
      </c>
      <c r="B2045" s="76">
        <v>60591</v>
      </c>
      <c r="C2045" s="81">
        <v>0</v>
      </c>
      <c r="D2045" s="82">
        <v>0</v>
      </c>
    </row>
    <row r="2046" spans="1:4">
      <c r="A2046" s="78" t="s">
        <v>2175</v>
      </c>
      <c r="B2046" s="76">
        <v>60594</v>
      </c>
      <c r="C2046" s="81">
        <v>0</v>
      </c>
      <c r="D2046" s="82">
        <v>0</v>
      </c>
    </row>
    <row r="2047" spans="1:4" ht="28.5">
      <c r="A2047" s="78" t="s">
        <v>2176</v>
      </c>
      <c r="B2047" s="76">
        <v>60603</v>
      </c>
      <c r="C2047" s="81">
        <v>0</v>
      </c>
      <c r="D2047" s="82">
        <v>0</v>
      </c>
    </row>
    <row r="2048" spans="1:4">
      <c r="A2048" s="78" t="s">
        <v>2177</v>
      </c>
      <c r="B2048" s="76">
        <v>60616</v>
      </c>
      <c r="C2048" s="81">
        <v>0</v>
      </c>
      <c r="D2048" s="82">
        <v>0</v>
      </c>
    </row>
    <row r="2049" spans="1:4">
      <c r="A2049" s="78" t="s">
        <v>2178</v>
      </c>
      <c r="B2049" s="76">
        <v>60619</v>
      </c>
      <c r="C2049" s="81">
        <v>0</v>
      </c>
      <c r="D2049" s="82">
        <v>0</v>
      </c>
    </row>
    <row r="2050" spans="1:4">
      <c r="A2050" s="78" t="s">
        <v>2179</v>
      </c>
      <c r="B2050" s="76">
        <v>60678</v>
      </c>
      <c r="C2050" s="81">
        <v>0</v>
      </c>
      <c r="D2050" s="82">
        <v>0</v>
      </c>
    </row>
    <row r="2051" spans="1:4" ht="28.5">
      <c r="A2051" s="78" t="s">
        <v>2180</v>
      </c>
      <c r="B2051" s="76">
        <v>60684</v>
      </c>
      <c r="C2051" s="81">
        <v>0</v>
      </c>
      <c r="D2051" s="82">
        <v>0</v>
      </c>
    </row>
    <row r="2052" spans="1:4" ht="28.5">
      <c r="A2052" s="78" t="s">
        <v>2181</v>
      </c>
      <c r="B2052" s="76">
        <v>60685</v>
      </c>
      <c r="C2052" s="81">
        <v>0</v>
      </c>
      <c r="D2052" s="82">
        <v>0</v>
      </c>
    </row>
    <row r="2053" spans="1:4" ht="42.75">
      <c r="A2053" s="78" t="s">
        <v>2182</v>
      </c>
      <c r="B2053" s="76">
        <v>60720</v>
      </c>
      <c r="C2053" s="81">
        <v>0</v>
      </c>
      <c r="D2053" s="82">
        <v>0</v>
      </c>
    </row>
    <row r="2054" spans="1:4" ht="42.75">
      <c r="A2054" s="78" t="s">
        <v>2183</v>
      </c>
      <c r="B2054" s="76">
        <v>60722</v>
      </c>
      <c r="C2054" s="81">
        <v>0</v>
      </c>
      <c r="D2054" s="82">
        <v>0</v>
      </c>
    </row>
    <row r="2055" spans="1:4" ht="42.75">
      <c r="A2055" s="78" t="s">
        <v>2184</v>
      </c>
      <c r="B2055" s="76">
        <v>60723</v>
      </c>
      <c r="C2055" s="81">
        <v>0</v>
      </c>
      <c r="D2055" s="82">
        <v>0</v>
      </c>
    </row>
    <row r="2056" spans="1:4" ht="42.75">
      <c r="A2056" s="78" t="s">
        <v>2185</v>
      </c>
      <c r="B2056" s="76">
        <v>60724</v>
      </c>
      <c r="C2056" s="81">
        <v>0</v>
      </c>
      <c r="D2056" s="82">
        <v>0</v>
      </c>
    </row>
    <row r="2057" spans="1:4" ht="42.75">
      <c r="A2057" s="78" t="s">
        <v>2186</v>
      </c>
      <c r="B2057" s="76">
        <v>60725</v>
      </c>
      <c r="C2057" s="81">
        <v>0</v>
      </c>
      <c r="D2057" s="82">
        <v>0</v>
      </c>
    </row>
    <row r="2058" spans="1:4" ht="42.75">
      <c r="A2058" s="78" t="s">
        <v>2187</v>
      </c>
      <c r="B2058" s="76">
        <v>60726</v>
      </c>
      <c r="C2058" s="81">
        <v>0</v>
      </c>
      <c r="D2058" s="82">
        <v>0</v>
      </c>
    </row>
    <row r="2059" spans="1:4" ht="28.5">
      <c r="A2059" s="78" t="s">
        <v>2188</v>
      </c>
      <c r="B2059" s="76">
        <v>60744</v>
      </c>
      <c r="C2059" s="81">
        <v>0</v>
      </c>
      <c r="D2059" s="82">
        <v>0</v>
      </c>
    </row>
    <row r="2060" spans="1:4" ht="28.5">
      <c r="A2060" s="78" t="s">
        <v>2189</v>
      </c>
      <c r="B2060" s="76">
        <v>60745</v>
      </c>
      <c r="C2060" s="81">
        <v>0</v>
      </c>
      <c r="D2060" s="82">
        <v>0</v>
      </c>
    </row>
    <row r="2061" spans="1:4">
      <c r="A2061" s="78" t="s">
        <v>2190</v>
      </c>
      <c r="B2061" s="76">
        <v>60764</v>
      </c>
      <c r="C2061" s="81">
        <v>0</v>
      </c>
      <c r="D2061" s="82">
        <v>0</v>
      </c>
    </row>
    <row r="2062" spans="1:4" ht="28.5">
      <c r="A2062" s="78" t="s">
        <v>2191</v>
      </c>
      <c r="B2062" s="76">
        <v>60777</v>
      </c>
      <c r="C2062" s="81">
        <v>0</v>
      </c>
      <c r="D2062" s="82">
        <v>0</v>
      </c>
    </row>
    <row r="2063" spans="1:4">
      <c r="A2063" s="78" t="s">
        <v>2192</v>
      </c>
      <c r="B2063" s="76">
        <v>60790</v>
      </c>
      <c r="C2063" s="81">
        <v>0</v>
      </c>
      <c r="D2063" s="82">
        <v>0</v>
      </c>
    </row>
    <row r="2064" spans="1:4">
      <c r="A2064" s="78" t="s">
        <v>2193</v>
      </c>
      <c r="B2064" s="76">
        <v>60791</v>
      </c>
      <c r="C2064" s="81">
        <v>0</v>
      </c>
      <c r="D2064" s="82">
        <v>0</v>
      </c>
    </row>
    <row r="2065" spans="1:4" ht="28.5">
      <c r="A2065" s="78" t="s">
        <v>2194</v>
      </c>
      <c r="B2065" s="76">
        <v>60801</v>
      </c>
      <c r="C2065" s="81">
        <v>0</v>
      </c>
      <c r="D2065" s="82">
        <v>0</v>
      </c>
    </row>
    <row r="2066" spans="1:4" ht="28.5">
      <c r="A2066" s="78" t="s">
        <v>2195</v>
      </c>
      <c r="B2066" s="76">
        <v>60813</v>
      </c>
      <c r="C2066" s="81">
        <v>0</v>
      </c>
      <c r="D2066" s="82">
        <v>0</v>
      </c>
    </row>
    <row r="2067" spans="1:4" ht="42.75">
      <c r="A2067" s="78" t="s">
        <v>2196</v>
      </c>
      <c r="B2067" s="76">
        <v>60821</v>
      </c>
      <c r="C2067" s="81">
        <v>0</v>
      </c>
      <c r="D2067" s="82">
        <v>0</v>
      </c>
    </row>
    <row r="2068" spans="1:4" ht="28.5">
      <c r="A2068" s="78" t="s">
        <v>2197</v>
      </c>
      <c r="B2068" s="76">
        <v>60822</v>
      </c>
      <c r="C2068" s="81">
        <v>0</v>
      </c>
      <c r="D2068" s="82">
        <v>0</v>
      </c>
    </row>
    <row r="2069" spans="1:4" ht="42.75">
      <c r="A2069" s="78" t="s">
        <v>2198</v>
      </c>
      <c r="B2069" s="76">
        <v>60824</v>
      </c>
      <c r="C2069" s="81">
        <v>0</v>
      </c>
      <c r="D2069" s="82">
        <v>0</v>
      </c>
    </row>
    <row r="2070" spans="1:4" ht="28.5">
      <c r="A2070" s="78" t="s">
        <v>2199</v>
      </c>
      <c r="B2070" s="76">
        <v>60825</v>
      </c>
      <c r="C2070" s="81">
        <v>0</v>
      </c>
      <c r="D2070" s="82">
        <v>0</v>
      </c>
    </row>
    <row r="2071" spans="1:4" ht="28.5">
      <c r="A2071" s="78" t="s">
        <v>2200</v>
      </c>
      <c r="B2071" s="76">
        <v>60846</v>
      </c>
      <c r="C2071" s="81">
        <v>0</v>
      </c>
      <c r="D2071" s="82">
        <v>0</v>
      </c>
    </row>
    <row r="2072" spans="1:4" ht="28.5">
      <c r="A2072" s="78" t="s">
        <v>2201</v>
      </c>
      <c r="B2072" s="76">
        <v>60861</v>
      </c>
      <c r="C2072" s="81">
        <v>0</v>
      </c>
      <c r="D2072" s="82">
        <v>0</v>
      </c>
    </row>
    <row r="2073" spans="1:4" ht="28.5">
      <c r="A2073" s="78" t="s">
        <v>2202</v>
      </c>
      <c r="B2073" s="76">
        <v>60868</v>
      </c>
      <c r="C2073" s="81">
        <v>0</v>
      </c>
      <c r="D2073" s="82">
        <v>0</v>
      </c>
    </row>
    <row r="2074" spans="1:4" ht="42.75">
      <c r="A2074" s="78" t="s">
        <v>2203</v>
      </c>
      <c r="B2074" s="76">
        <v>60869</v>
      </c>
      <c r="C2074" s="81">
        <v>0</v>
      </c>
      <c r="D2074" s="82">
        <v>0</v>
      </c>
    </row>
    <row r="2075" spans="1:4" ht="28.5">
      <c r="A2075" s="78" t="s">
        <v>2204</v>
      </c>
      <c r="B2075" s="76">
        <v>60885</v>
      </c>
      <c r="C2075" s="81">
        <v>0</v>
      </c>
      <c r="D2075" s="82">
        <v>0</v>
      </c>
    </row>
    <row r="2076" spans="1:4">
      <c r="A2076" s="78" t="s">
        <v>2205</v>
      </c>
      <c r="B2076" s="76">
        <v>60886</v>
      </c>
      <c r="C2076" s="81">
        <v>0</v>
      </c>
      <c r="D2076" s="82">
        <v>0</v>
      </c>
    </row>
    <row r="2077" spans="1:4">
      <c r="A2077" s="78" t="s">
        <v>2206</v>
      </c>
      <c r="B2077" s="76">
        <v>60914</v>
      </c>
      <c r="C2077" s="81">
        <v>0</v>
      </c>
      <c r="D2077" s="82">
        <v>0</v>
      </c>
    </row>
    <row r="2078" spans="1:4" ht="28.5">
      <c r="A2078" s="78" t="s">
        <v>2207</v>
      </c>
      <c r="B2078" s="76">
        <v>60947</v>
      </c>
      <c r="C2078" s="81">
        <v>0</v>
      </c>
      <c r="D2078" s="82">
        <v>0</v>
      </c>
    </row>
    <row r="2079" spans="1:4" ht="28.5">
      <c r="A2079" s="78" t="s">
        <v>2208</v>
      </c>
      <c r="B2079" s="76">
        <v>60953</v>
      </c>
      <c r="C2079" s="81">
        <v>0</v>
      </c>
      <c r="D2079" s="82">
        <v>0</v>
      </c>
    </row>
    <row r="2080" spans="1:4" ht="28.5">
      <c r="A2080" s="78" t="s">
        <v>2209</v>
      </c>
      <c r="B2080" s="76">
        <v>60975</v>
      </c>
      <c r="C2080" s="81">
        <v>0</v>
      </c>
      <c r="D2080" s="82">
        <v>0</v>
      </c>
    </row>
    <row r="2081" spans="1:4">
      <c r="A2081" s="78" t="s">
        <v>2210</v>
      </c>
      <c r="B2081" s="76">
        <v>60976</v>
      </c>
      <c r="C2081" s="81">
        <v>0</v>
      </c>
      <c r="D2081" s="82">
        <v>0</v>
      </c>
    </row>
    <row r="2082" spans="1:4" ht="28.5">
      <c r="A2082" s="78" t="s">
        <v>2211</v>
      </c>
      <c r="B2082" s="76">
        <v>60978</v>
      </c>
      <c r="C2082" s="81">
        <v>0</v>
      </c>
      <c r="D2082" s="82">
        <v>0</v>
      </c>
    </row>
    <row r="2083" spans="1:4" ht="28.5">
      <c r="A2083" s="78" t="s">
        <v>2212</v>
      </c>
      <c r="B2083" s="76">
        <v>60979</v>
      </c>
      <c r="C2083" s="81">
        <v>0</v>
      </c>
      <c r="D2083" s="82">
        <v>0</v>
      </c>
    </row>
    <row r="2084" spans="1:4" ht="28.5">
      <c r="A2084" s="78" t="s">
        <v>2213</v>
      </c>
      <c r="B2084" s="76">
        <v>60981</v>
      </c>
      <c r="C2084" s="81">
        <v>0</v>
      </c>
      <c r="D2084" s="82">
        <v>0</v>
      </c>
    </row>
    <row r="2085" spans="1:4" ht="28.5">
      <c r="A2085" s="78" t="s">
        <v>2214</v>
      </c>
      <c r="B2085" s="76">
        <v>60984</v>
      </c>
      <c r="C2085" s="81">
        <v>0</v>
      </c>
      <c r="D2085" s="82">
        <v>0</v>
      </c>
    </row>
    <row r="2086" spans="1:4" ht="28.5">
      <c r="A2086" s="78" t="s">
        <v>2215</v>
      </c>
      <c r="B2086" s="76">
        <v>60995</v>
      </c>
      <c r="C2086" s="81">
        <v>0</v>
      </c>
      <c r="D2086" s="82">
        <v>0</v>
      </c>
    </row>
    <row r="2087" spans="1:4" ht="28.5">
      <c r="A2087" s="78" t="s">
        <v>2216</v>
      </c>
      <c r="B2087" s="76">
        <v>60996</v>
      </c>
      <c r="C2087" s="81">
        <v>0</v>
      </c>
      <c r="D2087" s="82">
        <v>0</v>
      </c>
    </row>
    <row r="2088" spans="1:4">
      <c r="A2088" s="78" t="s">
        <v>2217</v>
      </c>
      <c r="B2088" s="76">
        <v>61006</v>
      </c>
      <c r="C2088" s="81">
        <v>0</v>
      </c>
      <c r="D2088" s="82">
        <v>0</v>
      </c>
    </row>
    <row r="2089" spans="1:4" ht="28.5">
      <c r="A2089" s="78" t="s">
        <v>2218</v>
      </c>
      <c r="B2089" s="76">
        <v>61013</v>
      </c>
      <c r="C2089" s="81">
        <v>0</v>
      </c>
      <c r="D2089" s="82">
        <v>0</v>
      </c>
    </row>
    <row r="2090" spans="1:4" ht="28.5">
      <c r="A2090" s="78" t="s">
        <v>2219</v>
      </c>
      <c r="B2090" s="76">
        <v>61040</v>
      </c>
      <c r="C2090" s="81">
        <v>0</v>
      </c>
      <c r="D2090" s="82">
        <v>0</v>
      </c>
    </row>
    <row r="2091" spans="1:4" ht="28.5">
      <c r="A2091" s="78" t="s">
        <v>2220</v>
      </c>
      <c r="B2091" s="76">
        <v>61048</v>
      </c>
      <c r="C2091" s="81">
        <v>0</v>
      </c>
      <c r="D2091" s="82">
        <v>0</v>
      </c>
    </row>
    <row r="2092" spans="1:4" ht="28.5">
      <c r="A2092" s="78" t="s">
        <v>2221</v>
      </c>
      <c r="B2092" s="76">
        <v>61066</v>
      </c>
      <c r="C2092" s="81">
        <v>0</v>
      </c>
      <c r="D2092" s="82">
        <v>0</v>
      </c>
    </row>
    <row r="2093" spans="1:4" ht="28.5">
      <c r="A2093" s="78" t="s">
        <v>2222</v>
      </c>
      <c r="B2093" s="76">
        <v>61067</v>
      </c>
      <c r="C2093" s="81">
        <v>0</v>
      </c>
      <c r="D2093" s="82">
        <v>0</v>
      </c>
    </row>
    <row r="2094" spans="1:4" ht="28.5">
      <c r="A2094" s="78" t="s">
        <v>2223</v>
      </c>
      <c r="B2094" s="76">
        <v>61098</v>
      </c>
      <c r="C2094" s="81">
        <v>0</v>
      </c>
      <c r="D2094" s="82">
        <v>0</v>
      </c>
    </row>
    <row r="2095" spans="1:4" ht="42.75">
      <c r="A2095" s="78" t="s">
        <v>2224</v>
      </c>
      <c r="B2095" s="76">
        <v>61104</v>
      </c>
      <c r="C2095" s="81">
        <v>0</v>
      </c>
      <c r="D2095" s="82">
        <v>0</v>
      </c>
    </row>
    <row r="2096" spans="1:4">
      <c r="A2096" s="78" t="s">
        <v>2225</v>
      </c>
      <c r="B2096" s="76">
        <v>61115</v>
      </c>
      <c r="C2096" s="81">
        <v>0</v>
      </c>
      <c r="D2096" s="82">
        <v>0</v>
      </c>
    </row>
    <row r="2097" spans="1:4">
      <c r="A2097" s="78" t="s">
        <v>2226</v>
      </c>
      <c r="B2097" s="76">
        <v>61116</v>
      </c>
      <c r="C2097" s="81">
        <v>0</v>
      </c>
      <c r="D2097" s="82">
        <v>0</v>
      </c>
    </row>
    <row r="2098" spans="1:4">
      <c r="A2098" s="78" t="s">
        <v>2227</v>
      </c>
      <c r="B2098" s="76">
        <v>61117</v>
      </c>
      <c r="C2098" s="81">
        <v>0</v>
      </c>
      <c r="D2098" s="82">
        <v>0</v>
      </c>
    </row>
    <row r="2099" spans="1:4" ht="28.5">
      <c r="A2099" s="78" t="s">
        <v>2228</v>
      </c>
      <c r="B2099" s="76">
        <v>61118</v>
      </c>
      <c r="C2099" s="81">
        <v>0</v>
      </c>
      <c r="D2099" s="82">
        <v>0</v>
      </c>
    </row>
    <row r="2100" spans="1:4">
      <c r="A2100" s="78" t="s">
        <v>2229</v>
      </c>
      <c r="B2100" s="76">
        <v>61119</v>
      </c>
      <c r="C2100" s="81">
        <v>0</v>
      </c>
      <c r="D2100" s="82">
        <v>0</v>
      </c>
    </row>
    <row r="2101" spans="1:4">
      <c r="A2101" s="78" t="s">
        <v>2230</v>
      </c>
      <c r="B2101" s="76">
        <v>61120</v>
      </c>
      <c r="C2101" s="81">
        <v>0</v>
      </c>
      <c r="D2101" s="82">
        <v>0</v>
      </c>
    </row>
    <row r="2102" spans="1:4">
      <c r="A2102" s="78" t="s">
        <v>2231</v>
      </c>
      <c r="B2102" s="76">
        <v>61121</v>
      </c>
      <c r="C2102" s="81">
        <v>0</v>
      </c>
      <c r="D2102" s="82">
        <v>0</v>
      </c>
    </row>
    <row r="2103" spans="1:4" ht="28.5">
      <c r="A2103" s="78" t="s">
        <v>2232</v>
      </c>
      <c r="B2103" s="76">
        <v>61152</v>
      </c>
      <c r="C2103" s="81">
        <v>0</v>
      </c>
      <c r="D2103" s="82">
        <v>0</v>
      </c>
    </row>
    <row r="2104" spans="1:4" ht="28.5">
      <c r="A2104" s="78" t="s">
        <v>2233</v>
      </c>
      <c r="B2104" s="76">
        <v>61155</v>
      </c>
      <c r="C2104" s="81">
        <v>0</v>
      </c>
      <c r="D2104" s="82">
        <v>0</v>
      </c>
    </row>
    <row r="2105" spans="1:4" ht="28.5">
      <c r="A2105" s="78" t="s">
        <v>2234</v>
      </c>
      <c r="B2105" s="76">
        <v>61165</v>
      </c>
      <c r="C2105" s="81">
        <v>0</v>
      </c>
      <c r="D2105" s="82">
        <v>0</v>
      </c>
    </row>
    <row r="2106" spans="1:4" ht="42.75">
      <c r="A2106" s="78" t="s">
        <v>2235</v>
      </c>
      <c r="B2106" s="76">
        <v>61168</v>
      </c>
      <c r="C2106" s="81">
        <v>0</v>
      </c>
      <c r="D2106" s="82">
        <v>0</v>
      </c>
    </row>
    <row r="2107" spans="1:4" ht="28.5">
      <c r="A2107" s="78" t="s">
        <v>2236</v>
      </c>
      <c r="B2107" s="76">
        <v>61189</v>
      </c>
      <c r="C2107" s="81">
        <v>0</v>
      </c>
      <c r="D2107" s="82">
        <v>0</v>
      </c>
    </row>
    <row r="2108" spans="1:4" ht="28.5">
      <c r="A2108" s="78" t="s">
        <v>2237</v>
      </c>
      <c r="B2108" s="76">
        <v>61190</v>
      </c>
      <c r="C2108" s="81">
        <v>0</v>
      </c>
      <c r="D2108" s="82">
        <v>0</v>
      </c>
    </row>
    <row r="2109" spans="1:4">
      <c r="A2109" s="78" t="s">
        <v>2238</v>
      </c>
      <c r="B2109" s="76">
        <v>61191</v>
      </c>
      <c r="C2109" s="81">
        <v>0</v>
      </c>
      <c r="D2109" s="82">
        <v>0</v>
      </c>
    </row>
    <row r="2110" spans="1:4" ht="28.5">
      <c r="A2110" s="78" t="s">
        <v>2239</v>
      </c>
      <c r="B2110" s="76">
        <v>61193</v>
      </c>
      <c r="C2110" s="81">
        <v>0</v>
      </c>
      <c r="D2110" s="82">
        <v>0</v>
      </c>
    </row>
    <row r="2111" spans="1:4" ht="28.5">
      <c r="A2111" s="78" t="s">
        <v>2240</v>
      </c>
      <c r="B2111" s="76">
        <v>61199</v>
      </c>
      <c r="C2111" s="81">
        <v>0</v>
      </c>
      <c r="D2111" s="82">
        <v>0</v>
      </c>
    </row>
    <row r="2112" spans="1:4">
      <c r="A2112" s="78" t="s">
        <v>2241</v>
      </c>
      <c r="B2112" s="76">
        <v>61200</v>
      </c>
      <c r="C2112" s="81">
        <v>0</v>
      </c>
      <c r="D2112" s="82">
        <v>0</v>
      </c>
    </row>
    <row r="2113" spans="1:4">
      <c r="A2113" s="78" t="s">
        <v>2242</v>
      </c>
      <c r="B2113" s="76">
        <v>61201</v>
      </c>
      <c r="C2113" s="81">
        <v>0</v>
      </c>
      <c r="D2113" s="82">
        <v>0</v>
      </c>
    </row>
    <row r="2114" spans="1:4" ht="28.5">
      <c r="A2114" s="78" t="s">
        <v>2243</v>
      </c>
      <c r="B2114" s="76">
        <v>61202</v>
      </c>
      <c r="C2114" s="81">
        <v>0</v>
      </c>
      <c r="D2114" s="82">
        <v>0</v>
      </c>
    </row>
    <row r="2115" spans="1:4" ht="42.75">
      <c r="A2115" s="78" t="s">
        <v>2244</v>
      </c>
      <c r="B2115" s="76">
        <v>61209</v>
      </c>
      <c r="C2115" s="81">
        <v>0</v>
      </c>
      <c r="D2115" s="82">
        <v>0</v>
      </c>
    </row>
    <row r="2116" spans="1:4" ht="28.5">
      <c r="A2116" s="78" t="s">
        <v>2245</v>
      </c>
      <c r="B2116" s="76">
        <v>61215</v>
      </c>
      <c r="C2116" s="81">
        <v>0</v>
      </c>
      <c r="D2116" s="82">
        <v>0</v>
      </c>
    </row>
    <row r="2117" spans="1:4" ht="28.5">
      <c r="A2117" s="78" t="s">
        <v>2246</v>
      </c>
      <c r="B2117" s="76">
        <v>61216</v>
      </c>
      <c r="C2117" s="81">
        <v>0</v>
      </c>
      <c r="D2117" s="82">
        <v>0</v>
      </c>
    </row>
    <row r="2118" spans="1:4" ht="28.5">
      <c r="A2118" s="78" t="s">
        <v>2247</v>
      </c>
      <c r="B2118" s="76">
        <v>61217</v>
      </c>
      <c r="C2118" s="81">
        <v>0</v>
      </c>
      <c r="D2118" s="82">
        <v>0</v>
      </c>
    </row>
    <row r="2119" spans="1:4" ht="42.75">
      <c r="A2119" s="78" t="s">
        <v>2248</v>
      </c>
      <c r="B2119" s="76">
        <v>61222</v>
      </c>
      <c r="C2119" s="81">
        <v>0</v>
      </c>
      <c r="D2119" s="82">
        <v>0</v>
      </c>
    </row>
    <row r="2120" spans="1:4">
      <c r="A2120" s="78" t="s">
        <v>2249</v>
      </c>
      <c r="B2120" s="76">
        <v>61249</v>
      </c>
      <c r="C2120" s="81">
        <v>0</v>
      </c>
      <c r="D2120" s="82">
        <v>0</v>
      </c>
    </row>
    <row r="2121" spans="1:4">
      <c r="A2121" s="78" t="s">
        <v>2250</v>
      </c>
      <c r="B2121" s="76">
        <v>61250</v>
      </c>
      <c r="C2121" s="81">
        <v>0</v>
      </c>
      <c r="D2121" s="82">
        <v>0</v>
      </c>
    </row>
    <row r="2122" spans="1:4" ht="28.5">
      <c r="A2122" s="78" t="s">
        <v>2251</v>
      </c>
      <c r="B2122" s="76">
        <v>61264</v>
      </c>
      <c r="C2122" s="81">
        <v>0</v>
      </c>
      <c r="D2122" s="82">
        <v>0</v>
      </c>
    </row>
    <row r="2123" spans="1:4">
      <c r="A2123" s="78" t="s">
        <v>2252</v>
      </c>
      <c r="B2123" s="76">
        <v>61265</v>
      </c>
      <c r="C2123" s="81">
        <v>0</v>
      </c>
      <c r="D2123" s="82">
        <v>0</v>
      </c>
    </row>
    <row r="2124" spans="1:4" ht="28.5">
      <c r="A2124" s="78" t="s">
        <v>2253</v>
      </c>
      <c r="B2124" s="76">
        <v>61268</v>
      </c>
      <c r="C2124" s="81">
        <v>0</v>
      </c>
      <c r="D2124" s="82">
        <v>0</v>
      </c>
    </row>
    <row r="2125" spans="1:4">
      <c r="A2125" s="78" t="s">
        <v>2254</v>
      </c>
      <c r="B2125" s="76">
        <v>61272</v>
      </c>
      <c r="C2125" s="81">
        <v>0</v>
      </c>
      <c r="D2125" s="82">
        <v>0</v>
      </c>
    </row>
    <row r="2126" spans="1:4" ht="28.5">
      <c r="A2126" s="78" t="s">
        <v>2255</v>
      </c>
      <c r="B2126" s="76">
        <v>61281</v>
      </c>
      <c r="C2126" s="81">
        <v>0</v>
      </c>
      <c r="D2126" s="82">
        <v>0</v>
      </c>
    </row>
    <row r="2127" spans="1:4" ht="28.5">
      <c r="A2127" s="78" t="s">
        <v>2256</v>
      </c>
      <c r="B2127" s="76">
        <v>61289</v>
      </c>
      <c r="C2127" s="81">
        <v>0</v>
      </c>
      <c r="D2127" s="82">
        <v>0</v>
      </c>
    </row>
    <row r="2128" spans="1:4" ht="28.5">
      <c r="A2128" s="78" t="s">
        <v>2257</v>
      </c>
      <c r="B2128" s="76">
        <v>61290</v>
      </c>
      <c r="C2128" s="81">
        <v>0</v>
      </c>
      <c r="D2128" s="82">
        <v>0</v>
      </c>
    </row>
    <row r="2129" spans="1:4" ht="28.5">
      <c r="A2129" s="78" t="s">
        <v>2258</v>
      </c>
      <c r="B2129" s="76">
        <v>61291</v>
      </c>
      <c r="C2129" s="81">
        <v>0</v>
      </c>
      <c r="D2129" s="82">
        <v>0</v>
      </c>
    </row>
    <row r="2130" spans="1:4">
      <c r="A2130" s="78" t="s">
        <v>2259</v>
      </c>
      <c r="B2130" s="76">
        <v>61314</v>
      </c>
      <c r="C2130" s="81">
        <v>0</v>
      </c>
      <c r="D2130" s="82">
        <v>0</v>
      </c>
    </row>
    <row r="2131" spans="1:4" ht="28.5">
      <c r="A2131" s="78" t="s">
        <v>2260</v>
      </c>
      <c r="B2131" s="76">
        <v>61319</v>
      </c>
      <c r="C2131" s="81">
        <v>0</v>
      </c>
      <c r="D2131" s="82">
        <v>0</v>
      </c>
    </row>
    <row r="2132" spans="1:4" ht="28.5">
      <c r="A2132" s="78" t="s">
        <v>2261</v>
      </c>
      <c r="B2132" s="76">
        <v>61335</v>
      </c>
      <c r="C2132" s="81">
        <v>0</v>
      </c>
      <c r="D2132" s="82">
        <v>0</v>
      </c>
    </row>
    <row r="2133" spans="1:4" ht="28.5">
      <c r="A2133" s="78" t="s">
        <v>2262</v>
      </c>
      <c r="B2133" s="76">
        <v>61336</v>
      </c>
      <c r="C2133" s="81">
        <v>0</v>
      </c>
      <c r="D2133" s="82">
        <v>0</v>
      </c>
    </row>
    <row r="2134" spans="1:4">
      <c r="A2134" s="78" t="s">
        <v>2263</v>
      </c>
      <c r="B2134" s="76">
        <v>61337</v>
      </c>
      <c r="C2134" s="81">
        <v>0</v>
      </c>
      <c r="D2134" s="82">
        <v>0</v>
      </c>
    </row>
    <row r="2135" spans="1:4" ht="28.5">
      <c r="A2135" s="78" t="s">
        <v>2264</v>
      </c>
      <c r="B2135" s="76">
        <v>61338</v>
      </c>
      <c r="C2135" s="81">
        <v>0</v>
      </c>
      <c r="D2135" s="82">
        <v>0</v>
      </c>
    </row>
    <row r="2136" spans="1:4" ht="28.5">
      <c r="A2136" s="78" t="s">
        <v>2265</v>
      </c>
      <c r="B2136" s="76">
        <v>61339</v>
      </c>
      <c r="C2136" s="81">
        <v>0</v>
      </c>
      <c r="D2136" s="82">
        <v>0</v>
      </c>
    </row>
    <row r="2137" spans="1:4">
      <c r="A2137" s="78" t="s">
        <v>2266</v>
      </c>
      <c r="B2137" s="76">
        <v>61348</v>
      </c>
      <c r="C2137" s="81">
        <v>0</v>
      </c>
      <c r="D2137" s="82">
        <v>0</v>
      </c>
    </row>
    <row r="2138" spans="1:4">
      <c r="A2138" s="78" t="s">
        <v>2267</v>
      </c>
      <c r="B2138" s="76">
        <v>61349</v>
      </c>
      <c r="C2138" s="81">
        <v>0</v>
      </c>
      <c r="D2138" s="82">
        <v>0</v>
      </c>
    </row>
    <row r="2139" spans="1:4" ht="28.5">
      <c r="A2139" s="78" t="s">
        <v>2268</v>
      </c>
      <c r="B2139" s="76">
        <v>61353</v>
      </c>
      <c r="C2139" s="81">
        <v>0</v>
      </c>
      <c r="D2139" s="82">
        <v>0</v>
      </c>
    </row>
    <row r="2140" spans="1:4">
      <c r="A2140" s="78" t="s">
        <v>2269</v>
      </c>
      <c r="B2140" s="76">
        <v>61369</v>
      </c>
      <c r="C2140" s="81">
        <v>0</v>
      </c>
      <c r="D2140" s="82">
        <v>0</v>
      </c>
    </row>
    <row r="2141" spans="1:4" ht="28.5">
      <c r="A2141" s="78" t="s">
        <v>2270</v>
      </c>
      <c r="B2141" s="76">
        <v>61377</v>
      </c>
      <c r="C2141" s="81">
        <v>0</v>
      </c>
      <c r="D2141" s="82">
        <v>0</v>
      </c>
    </row>
    <row r="2142" spans="1:4" ht="28.5">
      <c r="A2142" s="78" t="s">
        <v>2271</v>
      </c>
      <c r="B2142" s="76">
        <v>61418</v>
      </c>
      <c r="C2142" s="81">
        <v>0</v>
      </c>
      <c r="D2142" s="82">
        <v>0</v>
      </c>
    </row>
    <row r="2143" spans="1:4" ht="28.5">
      <c r="A2143" s="78" t="s">
        <v>2272</v>
      </c>
      <c r="B2143" s="76">
        <v>61419</v>
      </c>
      <c r="C2143" s="81">
        <v>0</v>
      </c>
      <c r="D2143" s="82">
        <v>0</v>
      </c>
    </row>
    <row r="2144" spans="1:4">
      <c r="A2144" s="78" t="s">
        <v>2273</v>
      </c>
      <c r="B2144" s="76">
        <v>61420</v>
      </c>
      <c r="C2144" s="81">
        <v>0</v>
      </c>
      <c r="D2144" s="82">
        <v>0</v>
      </c>
    </row>
    <row r="2145" spans="1:4">
      <c r="A2145" s="78" t="s">
        <v>2274</v>
      </c>
      <c r="B2145" s="76">
        <v>61421</v>
      </c>
      <c r="C2145" s="81">
        <v>0</v>
      </c>
      <c r="D2145" s="82">
        <v>0</v>
      </c>
    </row>
    <row r="2146" spans="1:4">
      <c r="A2146" s="78" t="s">
        <v>2275</v>
      </c>
      <c r="B2146" s="76">
        <v>61423</v>
      </c>
      <c r="C2146" s="81">
        <v>0</v>
      </c>
      <c r="D2146" s="82">
        <v>0</v>
      </c>
    </row>
    <row r="2147" spans="1:4">
      <c r="A2147" s="78" t="s">
        <v>2276</v>
      </c>
      <c r="B2147" s="76">
        <v>61424</v>
      </c>
      <c r="C2147" s="81">
        <v>0</v>
      </c>
      <c r="D2147" s="82">
        <v>0</v>
      </c>
    </row>
    <row r="2148" spans="1:4" ht="28.5">
      <c r="A2148" s="78" t="s">
        <v>2277</v>
      </c>
      <c r="B2148" s="76">
        <v>61425</v>
      </c>
      <c r="C2148" s="81">
        <v>0</v>
      </c>
      <c r="D2148" s="82">
        <v>0</v>
      </c>
    </row>
    <row r="2149" spans="1:4">
      <c r="A2149" s="78" t="s">
        <v>2278</v>
      </c>
      <c r="B2149" s="76">
        <v>61430</v>
      </c>
      <c r="C2149" s="81">
        <v>0</v>
      </c>
      <c r="D2149" s="82">
        <v>0</v>
      </c>
    </row>
    <row r="2150" spans="1:4" ht="42.75">
      <c r="A2150" s="78" t="s">
        <v>2279</v>
      </c>
      <c r="B2150" s="76">
        <v>61439</v>
      </c>
      <c r="C2150" s="81">
        <v>0</v>
      </c>
      <c r="D2150" s="82">
        <v>0</v>
      </c>
    </row>
    <row r="2151" spans="1:4" ht="42.75">
      <c r="A2151" s="78" t="s">
        <v>2280</v>
      </c>
      <c r="B2151" s="76">
        <v>61442</v>
      </c>
      <c r="C2151" s="81">
        <v>0</v>
      </c>
      <c r="D2151" s="82">
        <v>0</v>
      </c>
    </row>
    <row r="2152" spans="1:4" ht="28.5">
      <c r="A2152" s="78" t="s">
        <v>2281</v>
      </c>
      <c r="B2152" s="76">
        <v>61443</v>
      </c>
      <c r="C2152" s="81">
        <v>0</v>
      </c>
      <c r="D2152" s="82">
        <v>0</v>
      </c>
    </row>
    <row r="2153" spans="1:4" ht="42.75">
      <c r="A2153" s="78" t="s">
        <v>2282</v>
      </c>
      <c r="B2153" s="76">
        <v>61444</v>
      </c>
      <c r="C2153" s="81">
        <v>0</v>
      </c>
      <c r="D2153" s="82">
        <v>0</v>
      </c>
    </row>
    <row r="2154" spans="1:4" ht="28.5">
      <c r="A2154" s="78" t="s">
        <v>2283</v>
      </c>
      <c r="B2154" s="76">
        <v>61445</v>
      </c>
      <c r="C2154" s="81">
        <v>0</v>
      </c>
      <c r="D2154" s="82">
        <v>0</v>
      </c>
    </row>
    <row r="2155" spans="1:4" ht="28.5">
      <c r="A2155" s="78" t="s">
        <v>2284</v>
      </c>
      <c r="B2155" s="76">
        <v>61446</v>
      </c>
      <c r="C2155" s="81">
        <v>0</v>
      </c>
      <c r="D2155" s="82">
        <v>0</v>
      </c>
    </row>
    <row r="2156" spans="1:4" ht="28.5">
      <c r="A2156" s="78" t="s">
        <v>2285</v>
      </c>
      <c r="B2156" s="76">
        <v>61447</v>
      </c>
      <c r="C2156" s="81">
        <v>0</v>
      </c>
      <c r="D2156" s="82">
        <v>0</v>
      </c>
    </row>
    <row r="2157" spans="1:4" ht="28.5">
      <c r="A2157" s="78" t="s">
        <v>2286</v>
      </c>
      <c r="B2157" s="76">
        <v>61448</v>
      </c>
      <c r="C2157" s="81">
        <v>0</v>
      </c>
      <c r="D2157" s="82">
        <v>0</v>
      </c>
    </row>
    <row r="2158" spans="1:4" ht="28.5">
      <c r="A2158" s="78" t="s">
        <v>2287</v>
      </c>
      <c r="B2158" s="76">
        <v>61449</v>
      </c>
      <c r="C2158" s="81">
        <v>0</v>
      </c>
      <c r="D2158" s="82">
        <v>0</v>
      </c>
    </row>
    <row r="2159" spans="1:4" ht="28.5">
      <c r="A2159" s="78" t="s">
        <v>2288</v>
      </c>
      <c r="B2159" s="76">
        <v>61462</v>
      </c>
      <c r="C2159" s="81">
        <v>0</v>
      </c>
      <c r="D2159" s="82">
        <v>0</v>
      </c>
    </row>
    <row r="2160" spans="1:4" ht="28.5">
      <c r="A2160" s="78" t="s">
        <v>2289</v>
      </c>
      <c r="B2160" s="76">
        <v>61463</v>
      </c>
      <c r="C2160" s="81">
        <v>0</v>
      </c>
      <c r="D2160" s="82">
        <v>0</v>
      </c>
    </row>
    <row r="2161" spans="1:4" ht="28.5">
      <c r="A2161" s="78" t="s">
        <v>2290</v>
      </c>
      <c r="B2161" s="76">
        <v>61472</v>
      </c>
      <c r="C2161" s="81">
        <v>0</v>
      </c>
      <c r="D2161" s="82">
        <v>0</v>
      </c>
    </row>
    <row r="2162" spans="1:4" ht="28.5">
      <c r="A2162" s="78" t="s">
        <v>2291</v>
      </c>
      <c r="B2162" s="76">
        <v>61496</v>
      </c>
      <c r="C2162" s="81">
        <v>0</v>
      </c>
      <c r="D2162" s="82">
        <v>0</v>
      </c>
    </row>
    <row r="2163" spans="1:4">
      <c r="A2163" s="78" t="s">
        <v>2292</v>
      </c>
      <c r="B2163" s="76">
        <v>61497</v>
      </c>
      <c r="C2163" s="81">
        <v>0</v>
      </c>
      <c r="D2163" s="82">
        <v>0</v>
      </c>
    </row>
    <row r="2164" spans="1:4" ht="28.5">
      <c r="A2164" s="78" t="s">
        <v>2293</v>
      </c>
      <c r="B2164" s="76">
        <v>61553</v>
      </c>
      <c r="C2164" s="81">
        <v>0</v>
      </c>
      <c r="D2164" s="82">
        <v>0</v>
      </c>
    </row>
    <row r="2165" spans="1:4" ht="28.5">
      <c r="A2165" s="78" t="s">
        <v>2294</v>
      </c>
      <c r="B2165" s="76">
        <v>61556</v>
      </c>
      <c r="C2165" s="81">
        <v>0</v>
      </c>
      <c r="D2165" s="82">
        <v>0</v>
      </c>
    </row>
    <row r="2166" spans="1:4" ht="28.5">
      <c r="A2166" s="78" t="s">
        <v>2295</v>
      </c>
      <c r="B2166" s="76">
        <v>61557</v>
      </c>
      <c r="C2166" s="81">
        <v>0</v>
      </c>
      <c r="D2166" s="82">
        <v>0</v>
      </c>
    </row>
    <row r="2167" spans="1:4" ht="28.5">
      <c r="A2167" s="78" t="s">
        <v>2296</v>
      </c>
      <c r="B2167" s="76">
        <v>61558</v>
      </c>
      <c r="C2167" s="81">
        <v>0</v>
      </c>
      <c r="D2167" s="82">
        <v>0</v>
      </c>
    </row>
    <row r="2168" spans="1:4">
      <c r="A2168" s="78" t="s">
        <v>2297</v>
      </c>
      <c r="B2168" s="76">
        <v>61559</v>
      </c>
      <c r="C2168" s="81">
        <v>0</v>
      </c>
      <c r="D2168" s="82">
        <v>0</v>
      </c>
    </row>
    <row r="2169" spans="1:4">
      <c r="A2169" s="78" t="s">
        <v>2298</v>
      </c>
      <c r="B2169" s="76">
        <v>61560</v>
      </c>
      <c r="C2169" s="81">
        <v>0</v>
      </c>
      <c r="D2169" s="82">
        <v>0</v>
      </c>
    </row>
    <row r="2170" spans="1:4" ht="28.5">
      <c r="A2170" s="78" t="s">
        <v>2299</v>
      </c>
      <c r="B2170" s="76">
        <v>61580</v>
      </c>
      <c r="C2170" s="81">
        <v>0</v>
      </c>
      <c r="D2170" s="82">
        <v>0</v>
      </c>
    </row>
    <row r="2171" spans="1:4">
      <c r="A2171" s="78" t="s">
        <v>2300</v>
      </c>
      <c r="B2171" s="76">
        <v>61583</v>
      </c>
      <c r="C2171" s="81">
        <v>0</v>
      </c>
      <c r="D2171" s="82">
        <v>0</v>
      </c>
    </row>
    <row r="2172" spans="1:4">
      <c r="A2172" s="78" t="s">
        <v>2301</v>
      </c>
      <c r="B2172" s="76">
        <v>61584</v>
      </c>
      <c r="C2172" s="81">
        <v>0</v>
      </c>
      <c r="D2172" s="82">
        <v>0</v>
      </c>
    </row>
    <row r="2173" spans="1:4">
      <c r="A2173" s="78" t="s">
        <v>2302</v>
      </c>
      <c r="B2173" s="76">
        <v>61593</v>
      </c>
      <c r="C2173" s="81">
        <v>0</v>
      </c>
      <c r="D2173" s="82">
        <v>0</v>
      </c>
    </row>
    <row r="2174" spans="1:4">
      <c r="A2174" s="78" t="s">
        <v>2303</v>
      </c>
      <c r="B2174" s="76">
        <v>61594</v>
      </c>
      <c r="C2174" s="81">
        <v>0</v>
      </c>
      <c r="D2174" s="82">
        <v>0</v>
      </c>
    </row>
    <row r="2175" spans="1:4" ht="28.5">
      <c r="A2175" s="78" t="s">
        <v>2304</v>
      </c>
      <c r="B2175" s="76">
        <v>61605</v>
      </c>
      <c r="C2175" s="81">
        <v>0</v>
      </c>
      <c r="D2175" s="82">
        <v>0</v>
      </c>
    </row>
    <row r="2176" spans="1:4">
      <c r="A2176" s="78" t="s">
        <v>2305</v>
      </c>
      <c r="B2176" s="76">
        <v>61606</v>
      </c>
      <c r="C2176" s="81">
        <v>0</v>
      </c>
      <c r="D2176" s="82">
        <v>0</v>
      </c>
    </row>
    <row r="2177" spans="1:4" ht="28.5">
      <c r="A2177" s="78" t="s">
        <v>2306</v>
      </c>
      <c r="B2177" s="76">
        <v>61607</v>
      </c>
      <c r="C2177" s="81">
        <v>0</v>
      </c>
      <c r="D2177" s="82">
        <v>0</v>
      </c>
    </row>
    <row r="2178" spans="1:4" ht="28.5">
      <c r="A2178" s="78" t="s">
        <v>2307</v>
      </c>
      <c r="B2178" s="76">
        <v>61611</v>
      </c>
      <c r="C2178" s="81">
        <v>0</v>
      </c>
      <c r="D2178" s="82">
        <v>0</v>
      </c>
    </row>
    <row r="2179" spans="1:4" ht="42.75">
      <c r="A2179" s="78" t="s">
        <v>2308</v>
      </c>
      <c r="B2179" s="76">
        <v>61619</v>
      </c>
      <c r="C2179" s="81">
        <v>0</v>
      </c>
      <c r="D2179" s="82">
        <v>0</v>
      </c>
    </row>
    <row r="2180" spans="1:4" ht="42.75">
      <c r="A2180" s="78" t="s">
        <v>2309</v>
      </c>
      <c r="B2180" s="76">
        <v>61620</v>
      </c>
      <c r="C2180" s="81">
        <v>0</v>
      </c>
      <c r="D2180" s="82">
        <v>0</v>
      </c>
    </row>
    <row r="2181" spans="1:4" ht="42.75">
      <c r="A2181" s="78" t="s">
        <v>2310</v>
      </c>
      <c r="B2181" s="76">
        <v>61621</v>
      </c>
      <c r="C2181" s="81">
        <v>0</v>
      </c>
      <c r="D2181" s="82">
        <v>0</v>
      </c>
    </row>
    <row r="2182" spans="1:4">
      <c r="A2182" s="78" t="s">
        <v>2311</v>
      </c>
      <c r="B2182" s="76">
        <v>61628</v>
      </c>
      <c r="C2182" s="81">
        <v>0</v>
      </c>
      <c r="D2182" s="82">
        <v>0</v>
      </c>
    </row>
    <row r="2183" spans="1:4" ht="28.5">
      <c r="A2183" s="78" t="s">
        <v>2312</v>
      </c>
      <c r="B2183" s="76">
        <v>61631</v>
      </c>
      <c r="C2183" s="81">
        <v>0</v>
      </c>
      <c r="D2183" s="82">
        <v>0</v>
      </c>
    </row>
    <row r="2184" spans="1:4">
      <c r="A2184" s="78" t="s">
        <v>2313</v>
      </c>
      <c r="B2184" s="76">
        <v>61662</v>
      </c>
      <c r="C2184" s="81">
        <v>0</v>
      </c>
      <c r="D2184" s="82">
        <v>0</v>
      </c>
    </row>
    <row r="2185" spans="1:4" ht="42.75">
      <c r="A2185" s="78" t="s">
        <v>2314</v>
      </c>
      <c r="B2185" s="76">
        <v>61678</v>
      </c>
      <c r="C2185" s="81">
        <v>0</v>
      </c>
      <c r="D2185" s="82">
        <v>0</v>
      </c>
    </row>
    <row r="2186" spans="1:4">
      <c r="A2186" s="78" t="s">
        <v>2315</v>
      </c>
      <c r="B2186" s="76">
        <v>61682</v>
      </c>
      <c r="C2186" s="81">
        <v>0</v>
      </c>
      <c r="D2186" s="82">
        <v>0</v>
      </c>
    </row>
    <row r="2187" spans="1:4">
      <c r="A2187" s="78" t="s">
        <v>2316</v>
      </c>
      <c r="B2187" s="76">
        <v>61683</v>
      </c>
      <c r="C2187" s="81">
        <v>0</v>
      </c>
      <c r="D2187" s="82">
        <v>0</v>
      </c>
    </row>
    <row r="2188" spans="1:4" ht="28.5">
      <c r="A2188" s="78" t="s">
        <v>2317</v>
      </c>
      <c r="B2188" s="76">
        <v>61688</v>
      </c>
      <c r="C2188" s="81">
        <v>0</v>
      </c>
      <c r="D2188" s="82">
        <v>0</v>
      </c>
    </row>
    <row r="2189" spans="1:4">
      <c r="A2189" s="78" t="s">
        <v>2318</v>
      </c>
      <c r="B2189" s="76">
        <v>61692</v>
      </c>
      <c r="C2189" s="81">
        <v>0</v>
      </c>
      <c r="D2189" s="82">
        <v>0</v>
      </c>
    </row>
    <row r="2190" spans="1:4" ht="28.5">
      <c r="A2190" s="78" t="s">
        <v>2319</v>
      </c>
      <c r="B2190" s="76">
        <v>61698</v>
      </c>
      <c r="C2190" s="81">
        <v>0</v>
      </c>
      <c r="D2190" s="82">
        <v>0</v>
      </c>
    </row>
    <row r="2191" spans="1:4" ht="28.5">
      <c r="A2191" s="78" t="s">
        <v>2320</v>
      </c>
      <c r="B2191" s="76">
        <v>61750</v>
      </c>
      <c r="C2191" s="81">
        <v>0</v>
      </c>
      <c r="D2191" s="82">
        <v>0</v>
      </c>
    </row>
    <row r="2192" spans="1:4" ht="28.5">
      <c r="A2192" s="78" t="s">
        <v>2321</v>
      </c>
      <c r="B2192" s="76">
        <v>61752</v>
      </c>
      <c r="C2192" s="81">
        <v>0</v>
      </c>
      <c r="D2192" s="82">
        <v>0</v>
      </c>
    </row>
    <row r="2193" spans="1:4" ht="28.5">
      <c r="A2193" s="78" t="s">
        <v>2322</v>
      </c>
      <c r="B2193" s="76">
        <v>61753</v>
      </c>
      <c r="C2193" s="81">
        <v>0</v>
      </c>
      <c r="D2193" s="82">
        <v>0</v>
      </c>
    </row>
    <row r="2194" spans="1:4">
      <c r="A2194" s="78" t="s">
        <v>2323</v>
      </c>
      <c r="B2194" s="76">
        <v>61791</v>
      </c>
      <c r="C2194" s="81">
        <v>0</v>
      </c>
      <c r="D2194" s="82">
        <v>0</v>
      </c>
    </row>
    <row r="2195" spans="1:4">
      <c r="A2195" s="78" t="s">
        <v>2324</v>
      </c>
      <c r="B2195" s="76">
        <v>61792</v>
      </c>
      <c r="C2195" s="81">
        <v>0</v>
      </c>
      <c r="D2195" s="82">
        <v>0</v>
      </c>
    </row>
    <row r="2196" spans="1:4" ht="28.5">
      <c r="A2196" s="78" t="s">
        <v>2325</v>
      </c>
      <c r="B2196" s="76">
        <v>61809</v>
      </c>
      <c r="C2196" s="81">
        <v>0</v>
      </c>
      <c r="D2196" s="82">
        <v>0</v>
      </c>
    </row>
    <row r="2197" spans="1:4">
      <c r="A2197" s="78" t="s">
        <v>2326</v>
      </c>
      <c r="B2197" s="76">
        <v>61811</v>
      </c>
      <c r="C2197" s="81">
        <v>0</v>
      </c>
      <c r="D2197" s="82">
        <v>0</v>
      </c>
    </row>
    <row r="2198" spans="1:4" ht="28.5">
      <c r="A2198" s="78" t="s">
        <v>2327</v>
      </c>
      <c r="B2198" s="76">
        <v>61824</v>
      </c>
      <c r="C2198" s="81">
        <v>0</v>
      </c>
      <c r="D2198" s="82">
        <v>0</v>
      </c>
    </row>
    <row r="2199" spans="1:4" ht="28.5">
      <c r="A2199" s="78" t="s">
        <v>2328</v>
      </c>
      <c r="B2199" s="76">
        <v>61825</v>
      </c>
      <c r="C2199" s="81">
        <v>0</v>
      </c>
      <c r="D2199" s="82">
        <v>0</v>
      </c>
    </row>
    <row r="2200" spans="1:4" ht="28.5">
      <c r="A2200" s="78" t="s">
        <v>2329</v>
      </c>
      <c r="B2200" s="76">
        <v>61827</v>
      </c>
      <c r="C2200" s="81">
        <v>0</v>
      </c>
      <c r="D2200" s="82">
        <v>0</v>
      </c>
    </row>
    <row r="2201" spans="1:4">
      <c r="A2201" s="78" t="s">
        <v>2330</v>
      </c>
      <c r="B2201" s="76">
        <v>61828</v>
      </c>
      <c r="C2201" s="81">
        <v>0</v>
      </c>
      <c r="D2201" s="82">
        <v>0</v>
      </c>
    </row>
    <row r="2202" spans="1:4">
      <c r="A2202" s="78" t="s">
        <v>2331</v>
      </c>
      <c r="B2202" s="76">
        <v>61829</v>
      </c>
      <c r="C2202" s="81">
        <v>0</v>
      </c>
      <c r="D2202" s="82">
        <v>0</v>
      </c>
    </row>
    <row r="2203" spans="1:4">
      <c r="A2203" s="78" t="s">
        <v>2332</v>
      </c>
      <c r="B2203" s="76">
        <v>61830</v>
      </c>
      <c r="C2203" s="81">
        <v>0</v>
      </c>
      <c r="D2203" s="82">
        <v>0</v>
      </c>
    </row>
    <row r="2204" spans="1:4">
      <c r="A2204" s="78" t="s">
        <v>2333</v>
      </c>
      <c r="B2204" s="76">
        <v>61831</v>
      </c>
      <c r="C2204" s="81">
        <v>0</v>
      </c>
      <c r="D2204" s="82">
        <v>0</v>
      </c>
    </row>
    <row r="2205" spans="1:4">
      <c r="A2205" s="78" t="s">
        <v>2334</v>
      </c>
      <c r="B2205" s="76">
        <v>61832</v>
      </c>
      <c r="C2205" s="81">
        <v>0</v>
      </c>
      <c r="D2205" s="82">
        <v>0</v>
      </c>
    </row>
    <row r="2206" spans="1:4" ht="42.75">
      <c r="A2206" s="78" t="s">
        <v>2335</v>
      </c>
      <c r="B2206" s="76">
        <v>61834</v>
      </c>
      <c r="C2206" s="81">
        <v>0</v>
      </c>
      <c r="D2206" s="82">
        <v>0</v>
      </c>
    </row>
    <row r="2207" spans="1:4" ht="28.5">
      <c r="A2207" s="78" t="s">
        <v>2336</v>
      </c>
      <c r="B2207" s="76">
        <v>61835</v>
      </c>
      <c r="C2207" s="81">
        <v>0</v>
      </c>
      <c r="D2207" s="82">
        <v>0</v>
      </c>
    </row>
    <row r="2208" spans="1:4" ht="28.5">
      <c r="A2208" s="78" t="s">
        <v>2337</v>
      </c>
      <c r="B2208" s="76">
        <v>61843</v>
      </c>
      <c r="C2208" s="81">
        <v>0</v>
      </c>
      <c r="D2208" s="82">
        <v>0</v>
      </c>
    </row>
    <row r="2209" spans="1:4" ht="28.5">
      <c r="A2209" s="78" t="s">
        <v>2338</v>
      </c>
      <c r="B2209" s="76">
        <v>61844</v>
      </c>
      <c r="C2209" s="81">
        <v>0</v>
      </c>
      <c r="D2209" s="82">
        <v>0</v>
      </c>
    </row>
    <row r="2210" spans="1:4" ht="42.75">
      <c r="A2210" s="78" t="s">
        <v>2339</v>
      </c>
      <c r="B2210" s="76">
        <v>61852</v>
      </c>
      <c r="C2210" s="81">
        <v>0</v>
      </c>
      <c r="D2210" s="82">
        <v>0</v>
      </c>
    </row>
    <row r="2211" spans="1:4" ht="42.75">
      <c r="A2211" s="78" t="s">
        <v>2340</v>
      </c>
      <c r="B2211" s="76">
        <v>61853</v>
      </c>
      <c r="C2211" s="81">
        <v>0</v>
      </c>
      <c r="D2211" s="82">
        <v>0</v>
      </c>
    </row>
    <row r="2212" spans="1:4">
      <c r="A2212" s="78" t="s">
        <v>2341</v>
      </c>
      <c r="B2212" s="76">
        <v>61854</v>
      </c>
      <c r="C2212" s="81">
        <v>0</v>
      </c>
      <c r="D2212" s="82">
        <v>0</v>
      </c>
    </row>
    <row r="2213" spans="1:4" ht="28.5">
      <c r="A2213" s="78" t="s">
        <v>2342</v>
      </c>
      <c r="B2213" s="76">
        <v>61855</v>
      </c>
      <c r="C2213" s="81">
        <v>0</v>
      </c>
      <c r="D2213" s="82">
        <v>0</v>
      </c>
    </row>
    <row r="2214" spans="1:4">
      <c r="A2214" s="78" t="s">
        <v>2343</v>
      </c>
      <c r="B2214" s="76">
        <v>61856</v>
      </c>
      <c r="C2214" s="81">
        <v>0</v>
      </c>
      <c r="D2214" s="82">
        <v>0</v>
      </c>
    </row>
    <row r="2215" spans="1:4" ht="28.5">
      <c r="A2215" s="78" t="s">
        <v>2344</v>
      </c>
      <c r="B2215" s="76">
        <v>61858</v>
      </c>
      <c r="C2215" s="81">
        <v>0</v>
      </c>
      <c r="D2215" s="82">
        <v>0</v>
      </c>
    </row>
    <row r="2216" spans="1:4" ht="28.5">
      <c r="A2216" s="78" t="s">
        <v>2345</v>
      </c>
      <c r="B2216" s="76">
        <v>61860</v>
      </c>
      <c r="C2216" s="81">
        <v>0</v>
      </c>
      <c r="D2216" s="82">
        <v>0</v>
      </c>
    </row>
    <row r="2217" spans="1:4" ht="28.5">
      <c r="A2217" s="78" t="s">
        <v>2346</v>
      </c>
      <c r="B2217" s="76">
        <v>61862</v>
      </c>
      <c r="C2217" s="81">
        <v>0</v>
      </c>
      <c r="D2217" s="82">
        <v>0</v>
      </c>
    </row>
    <row r="2218" spans="1:4">
      <c r="A2218" s="78" t="s">
        <v>2347</v>
      </c>
      <c r="B2218" s="76">
        <v>61886</v>
      </c>
      <c r="C2218" s="81">
        <v>0</v>
      </c>
      <c r="D2218" s="82">
        <v>0</v>
      </c>
    </row>
    <row r="2219" spans="1:4">
      <c r="A2219" s="78" t="s">
        <v>2348</v>
      </c>
      <c r="B2219" s="76">
        <v>61894</v>
      </c>
      <c r="C2219" s="81">
        <v>0</v>
      </c>
      <c r="D2219" s="82">
        <v>0</v>
      </c>
    </row>
    <row r="2220" spans="1:4" ht="42.75">
      <c r="A2220" s="78" t="s">
        <v>2349</v>
      </c>
      <c r="B2220" s="76">
        <v>61925</v>
      </c>
      <c r="C2220" s="81">
        <v>0</v>
      </c>
      <c r="D2220" s="82">
        <v>0</v>
      </c>
    </row>
    <row r="2221" spans="1:4" ht="28.5">
      <c r="A2221" s="78" t="s">
        <v>2350</v>
      </c>
      <c r="B2221" s="76">
        <v>61930</v>
      </c>
      <c r="C2221" s="81">
        <v>0</v>
      </c>
      <c r="D2221" s="82">
        <v>0</v>
      </c>
    </row>
    <row r="2222" spans="1:4" ht="28.5">
      <c r="A2222" s="78" t="s">
        <v>2351</v>
      </c>
      <c r="B2222" s="76">
        <v>61931</v>
      </c>
      <c r="C2222" s="81">
        <v>0</v>
      </c>
      <c r="D2222" s="82">
        <v>0</v>
      </c>
    </row>
    <row r="2223" spans="1:4" ht="28.5">
      <c r="A2223" s="78" t="s">
        <v>2352</v>
      </c>
      <c r="B2223" s="76">
        <v>61932</v>
      </c>
      <c r="C2223" s="81">
        <v>0</v>
      </c>
      <c r="D2223" s="82">
        <v>0</v>
      </c>
    </row>
    <row r="2224" spans="1:4" ht="28.5">
      <c r="A2224" s="78" t="s">
        <v>2353</v>
      </c>
      <c r="B2224" s="76">
        <v>61933</v>
      </c>
      <c r="C2224" s="81">
        <v>0</v>
      </c>
      <c r="D2224" s="82">
        <v>0</v>
      </c>
    </row>
    <row r="2225" spans="1:4" ht="42.75">
      <c r="A2225" s="78" t="s">
        <v>2354</v>
      </c>
      <c r="B2225" s="76">
        <v>61989</v>
      </c>
      <c r="C2225" s="81">
        <v>0</v>
      </c>
      <c r="D2225" s="82">
        <v>0</v>
      </c>
    </row>
    <row r="2226" spans="1:4" ht="28.5">
      <c r="A2226" s="78" t="s">
        <v>2355</v>
      </c>
      <c r="B2226" s="76">
        <v>61991</v>
      </c>
      <c r="C2226" s="81">
        <v>0</v>
      </c>
      <c r="D2226" s="82">
        <v>0</v>
      </c>
    </row>
    <row r="2227" spans="1:4" ht="28.5">
      <c r="A2227" s="78" t="s">
        <v>2356</v>
      </c>
      <c r="B2227" s="76">
        <v>61995</v>
      </c>
      <c r="C2227" s="81">
        <v>0</v>
      </c>
      <c r="D2227" s="82">
        <v>0</v>
      </c>
    </row>
    <row r="2228" spans="1:4" ht="28.5">
      <c r="A2228" s="78" t="s">
        <v>2357</v>
      </c>
      <c r="B2228" s="76">
        <v>62004</v>
      </c>
      <c r="C2228" s="81">
        <v>0</v>
      </c>
      <c r="D2228" s="82">
        <v>0</v>
      </c>
    </row>
    <row r="2229" spans="1:4" ht="28.5">
      <c r="A2229" s="78" t="s">
        <v>2358</v>
      </c>
      <c r="B2229" s="76">
        <v>62016</v>
      </c>
      <c r="C2229" s="81">
        <v>0</v>
      </c>
      <c r="D2229" s="82">
        <v>0</v>
      </c>
    </row>
    <row r="2230" spans="1:4" ht="28.5">
      <c r="A2230" s="78" t="s">
        <v>2359</v>
      </c>
      <c r="B2230" s="76">
        <v>62020</v>
      </c>
      <c r="C2230" s="81">
        <v>0</v>
      </c>
      <c r="D2230" s="82">
        <v>0</v>
      </c>
    </row>
    <row r="2231" spans="1:4" ht="28.5">
      <c r="A2231" s="78" t="s">
        <v>2360</v>
      </c>
      <c r="B2231" s="76">
        <v>62028</v>
      </c>
      <c r="C2231" s="81">
        <v>0</v>
      </c>
      <c r="D2231" s="82">
        <v>0</v>
      </c>
    </row>
    <row r="2232" spans="1:4" ht="42.75">
      <c r="A2232" s="78" t="s">
        <v>2361</v>
      </c>
      <c r="B2232" s="76">
        <v>62039</v>
      </c>
      <c r="C2232" s="81">
        <v>0</v>
      </c>
      <c r="D2232" s="82">
        <v>0</v>
      </c>
    </row>
    <row r="2233" spans="1:4" ht="28.5">
      <c r="A2233" s="78" t="s">
        <v>2362</v>
      </c>
      <c r="B2233" s="76">
        <v>62052</v>
      </c>
      <c r="C2233" s="81">
        <v>0</v>
      </c>
      <c r="D2233" s="82">
        <v>0</v>
      </c>
    </row>
    <row r="2234" spans="1:4">
      <c r="A2234" s="78" t="s">
        <v>634</v>
      </c>
      <c r="B2234" s="76">
        <v>62056</v>
      </c>
      <c r="C2234" s="81">
        <v>0</v>
      </c>
      <c r="D2234" s="82">
        <v>0</v>
      </c>
    </row>
    <row r="2235" spans="1:4" ht="28.5">
      <c r="A2235" s="78" t="s">
        <v>2363</v>
      </c>
      <c r="B2235" s="76">
        <v>62067</v>
      </c>
      <c r="C2235" s="81">
        <v>0</v>
      </c>
      <c r="D2235" s="82">
        <v>0</v>
      </c>
    </row>
    <row r="2236" spans="1:4" ht="28.5">
      <c r="A2236" s="78" t="s">
        <v>2364</v>
      </c>
      <c r="B2236" s="76">
        <v>62069</v>
      </c>
      <c r="C2236" s="81">
        <v>0</v>
      </c>
      <c r="D2236" s="82">
        <v>0</v>
      </c>
    </row>
    <row r="2237" spans="1:4" ht="28.5">
      <c r="A2237" s="78" t="s">
        <v>2365</v>
      </c>
      <c r="B2237" s="76">
        <v>62071</v>
      </c>
      <c r="C2237" s="81">
        <v>0</v>
      </c>
      <c r="D2237" s="82">
        <v>0</v>
      </c>
    </row>
    <row r="2238" spans="1:4" ht="28.5">
      <c r="A2238" s="78" t="s">
        <v>2366</v>
      </c>
      <c r="B2238" s="76">
        <v>62075</v>
      </c>
      <c r="C2238" s="81">
        <v>0</v>
      </c>
      <c r="D2238" s="82">
        <v>0</v>
      </c>
    </row>
    <row r="2239" spans="1:4" ht="42.75">
      <c r="A2239" s="78" t="s">
        <v>2367</v>
      </c>
      <c r="B2239" s="76">
        <v>62077</v>
      </c>
      <c r="C2239" s="81">
        <v>0</v>
      </c>
      <c r="D2239" s="82">
        <v>0</v>
      </c>
    </row>
    <row r="2240" spans="1:4" ht="28.5">
      <c r="A2240" s="78" t="s">
        <v>2368</v>
      </c>
      <c r="B2240" s="76">
        <v>62113</v>
      </c>
      <c r="C2240" s="81">
        <v>0</v>
      </c>
      <c r="D2240" s="82">
        <v>0</v>
      </c>
    </row>
    <row r="2241" spans="1:4">
      <c r="A2241" s="78" t="s">
        <v>2369</v>
      </c>
      <c r="B2241" s="76">
        <v>62114</v>
      </c>
      <c r="C2241" s="81">
        <v>0</v>
      </c>
      <c r="D2241" s="82">
        <v>0</v>
      </c>
    </row>
    <row r="2242" spans="1:4" ht="28.5">
      <c r="A2242" s="78" t="s">
        <v>2370</v>
      </c>
      <c r="B2242" s="76">
        <v>62149</v>
      </c>
      <c r="C2242" s="81">
        <v>0</v>
      </c>
      <c r="D2242" s="82">
        <v>0</v>
      </c>
    </row>
    <row r="2243" spans="1:4" ht="57">
      <c r="A2243" s="78" t="s">
        <v>2371</v>
      </c>
      <c r="B2243" s="76">
        <v>62150</v>
      </c>
      <c r="C2243" s="81">
        <v>0</v>
      </c>
      <c r="D2243" s="82">
        <v>0</v>
      </c>
    </row>
    <row r="2244" spans="1:4" ht="28.5">
      <c r="A2244" s="78" t="s">
        <v>2372</v>
      </c>
      <c r="B2244" s="76">
        <v>62151</v>
      </c>
      <c r="C2244" s="81">
        <v>0</v>
      </c>
      <c r="D2244" s="82">
        <v>0</v>
      </c>
    </row>
    <row r="2245" spans="1:4">
      <c r="A2245" s="78" t="s">
        <v>2373</v>
      </c>
      <c r="B2245" s="76">
        <v>62169</v>
      </c>
      <c r="C2245" s="81">
        <v>0</v>
      </c>
      <c r="D2245" s="82">
        <v>0</v>
      </c>
    </row>
    <row r="2246" spans="1:4">
      <c r="A2246" s="78" t="s">
        <v>2374</v>
      </c>
      <c r="B2246" s="76">
        <v>62170</v>
      </c>
      <c r="C2246" s="81">
        <v>0</v>
      </c>
      <c r="D2246" s="82">
        <v>0</v>
      </c>
    </row>
    <row r="2247" spans="1:4">
      <c r="A2247" s="78" t="s">
        <v>2375</v>
      </c>
      <c r="B2247" s="76">
        <v>62171</v>
      </c>
      <c r="C2247" s="81">
        <v>0</v>
      </c>
      <c r="D2247" s="82">
        <v>0</v>
      </c>
    </row>
    <row r="2248" spans="1:4" ht="28.5">
      <c r="A2248" s="78" t="s">
        <v>2376</v>
      </c>
      <c r="B2248" s="76">
        <v>62177</v>
      </c>
      <c r="C2248" s="81">
        <v>0</v>
      </c>
      <c r="D2248" s="82">
        <v>0</v>
      </c>
    </row>
    <row r="2249" spans="1:4" ht="28.5">
      <c r="A2249" s="78" t="s">
        <v>2377</v>
      </c>
      <c r="B2249" s="76">
        <v>62178</v>
      </c>
      <c r="C2249" s="81">
        <v>0</v>
      </c>
      <c r="D2249" s="82">
        <v>0</v>
      </c>
    </row>
    <row r="2250" spans="1:4" ht="28.5">
      <c r="A2250" s="78" t="s">
        <v>2378</v>
      </c>
      <c r="B2250" s="76">
        <v>62191</v>
      </c>
      <c r="C2250" s="81">
        <v>0</v>
      </c>
      <c r="D2250" s="82">
        <v>0</v>
      </c>
    </row>
    <row r="2251" spans="1:4" ht="28.5">
      <c r="A2251" s="78" t="s">
        <v>2379</v>
      </c>
      <c r="B2251" s="76">
        <v>62224</v>
      </c>
      <c r="C2251" s="81">
        <v>0</v>
      </c>
      <c r="D2251" s="82">
        <v>0</v>
      </c>
    </row>
    <row r="2252" spans="1:4" ht="28.5">
      <c r="A2252" s="78" t="s">
        <v>2380</v>
      </c>
      <c r="B2252" s="76">
        <v>62239</v>
      </c>
      <c r="C2252" s="81">
        <v>0</v>
      </c>
      <c r="D2252" s="82">
        <v>0</v>
      </c>
    </row>
    <row r="2253" spans="1:4" ht="28.5">
      <c r="A2253" s="78" t="s">
        <v>2381</v>
      </c>
      <c r="B2253" s="76">
        <v>62241</v>
      </c>
      <c r="C2253" s="81">
        <v>0</v>
      </c>
      <c r="D2253" s="82">
        <v>0</v>
      </c>
    </row>
    <row r="2254" spans="1:4" ht="28.5">
      <c r="A2254" s="78" t="s">
        <v>2382</v>
      </c>
      <c r="B2254" s="76">
        <v>62242</v>
      </c>
      <c r="C2254" s="81">
        <v>0</v>
      </c>
      <c r="D2254" s="82">
        <v>0</v>
      </c>
    </row>
    <row r="2255" spans="1:4" ht="28.5">
      <c r="A2255" s="78" t="s">
        <v>2383</v>
      </c>
      <c r="B2255" s="76">
        <v>62243</v>
      </c>
      <c r="C2255" s="81">
        <v>0</v>
      </c>
      <c r="D2255" s="82">
        <v>0</v>
      </c>
    </row>
    <row r="2256" spans="1:4" ht="28.5">
      <c r="A2256" s="78" t="s">
        <v>2384</v>
      </c>
      <c r="B2256" s="76">
        <v>62244</v>
      </c>
      <c r="C2256" s="81">
        <v>0</v>
      </c>
      <c r="D2256" s="82">
        <v>0</v>
      </c>
    </row>
    <row r="2257" spans="1:4" ht="28.5">
      <c r="A2257" s="78" t="s">
        <v>2385</v>
      </c>
      <c r="B2257" s="76">
        <v>62245</v>
      </c>
      <c r="C2257" s="81">
        <v>0</v>
      </c>
      <c r="D2257" s="82">
        <v>0</v>
      </c>
    </row>
    <row r="2258" spans="1:4" ht="28.5">
      <c r="A2258" s="78" t="s">
        <v>2386</v>
      </c>
      <c r="B2258" s="76">
        <v>62246</v>
      </c>
      <c r="C2258" s="81">
        <v>0</v>
      </c>
      <c r="D2258" s="82">
        <v>0</v>
      </c>
    </row>
    <row r="2259" spans="1:4" ht="28.5">
      <c r="A2259" s="78" t="s">
        <v>2387</v>
      </c>
      <c r="B2259" s="76">
        <v>62248</v>
      </c>
      <c r="C2259" s="81">
        <v>0</v>
      </c>
      <c r="D2259" s="82">
        <v>0</v>
      </c>
    </row>
    <row r="2260" spans="1:4" ht="28.5">
      <c r="A2260" s="78" t="s">
        <v>2388</v>
      </c>
      <c r="B2260" s="76">
        <v>62251</v>
      </c>
      <c r="C2260" s="81">
        <v>0</v>
      </c>
      <c r="D2260" s="82">
        <v>0</v>
      </c>
    </row>
    <row r="2261" spans="1:4" ht="28.5">
      <c r="A2261" s="78" t="s">
        <v>2389</v>
      </c>
      <c r="B2261" s="76">
        <v>62252</v>
      </c>
      <c r="C2261" s="81">
        <v>0</v>
      </c>
      <c r="D2261" s="82">
        <v>0</v>
      </c>
    </row>
    <row r="2262" spans="1:4" ht="28.5">
      <c r="A2262" s="78" t="s">
        <v>2390</v>
      </c>
      <c r="B2262" s="76">
        <v>62253</v>
      </c>
      <c r="C2262" s="81">
        <v>0</v>
      </c>
      <c r="D2262" s="82">
        <v>0</v>
      </c>
    </row>
    <row r="2263" spans="1:4" ht="28.5">
      <c r="A2263" s="78" t="s">
        <v>2391</v>
      </c>
      <c r="B2263" s="76">
        <v>62254</v>
      </c>
      <c r="C2263" s="81">
        <v>0</v>
      </c>
      <c r="D2263" s="82">
        <v>0</v>
      </c>
    </row>
    <row r="2264" spans="1:4" ht="28.5">
      <c r="A2264" s="78" t="s">
        <v>2392</v>
      </c>
      <c r="B2264" s="76">
        <v>62255</v>
      </c>
      <c r="C2264" s="81">
        <v>0</v>
      </c>
      <c r="D2264" s="82">
        <v>0</v>
      </c>
    </row>
    <row r="2265" spans="1:4" ht="28.5">
      <c r="A2265" s="78" t="s">
        <v>2393</v>
      </c>
      <c r="B2265" s="76">
        <v>62256</v>
      </c>
      <c r="C2265" s="81">
        <v>0</v>
      </c>
      <c r="D2265" s="82">
        <v>0</v>
      </c>
    </row>
    <row r="2266" spans="1:4">
      <c r="A2266" s="78" t="s">
        <v>2394</v>
      </c>
      <c r="B2266" s="76">
        <v>62260</v>
      </c>
      <c r="C2266" s="81">
        <v>0</v>
      </c>
      <c r="D2266" s="82">
        <v>0</v>
      </c>
    </row>
    <row r="2267" spans="1:4" ht="28.5">
      <c r="A2267" s="78" t="s">
        <v>2395</v>
      </c>
      <c r="B2267" s="76">
        <v>62268</v>
      </c>
      <c r="C2267" s="81">
        <v>0</v>
      </c>
      <c r="D2267" s="82">
        <v>0</v>
      </c>
    </row>
    <row r="2268" spans="1:4">
      <c r="A2268" s="78" t="s">
        <v>2396</v>
      </c>
      <c r="B2268" s="76">
        <v>62272</v>
      </c>
      <c r="C2268" s="81">
        <v>0</v>
      </c>
      <c r="D2268" s="82">
        <v>0</v>
      </c>
    </row>
    <row r="2269" spans="1:4" ht="28.5">
      <c r="A2269" s="78" t="s">
        <v>2397</v>
      </c>
      <c r="B2269" s="76">
        <v>62274</v>
      </c>
      <c r="C2269" s="81">
        <v>0</v>
      </c>
      <c r="D2269" s="82">
        <v>0</v>
      </c>
    </row>
    <row r="2270" spans="1:4" ht="28.5">
      <c r="A2270" s="78" t="s">
        <v>2398</v>
      </c>
      <c r="B2270" s="76">
        <v>62275</v>
      </c>
      <c r="C2270" s="81">
        <v>0</v>
      </c>
      <c r="D2270" s="82">
        <v>0</v>
      </c>
    </row>
    <row r="2271" spans="1:4">
      <c r="A2271" s="78" t="s">
        <v>2399</v>
      </c>
      <c r="B2271" s="76">
        <v>62286</v>
      </c>
      <c r="C2271" s="81">
        <v>0</v>
      </c>
      <c r="D2271" s="82">
        <v>0</v>
      </c>
    </row>
    <row r="2272" spans="1:4" ht="28.5">
      <c r="A2272" s="78" t="s">
        <v>2400</v>
      </c>
      <c r="B2272" s="76">
        <v>62287</v>
      </c>
      <c r="C2272" s="81">
        <v>0</v>
      </c>
      <c r="D2272" s="82">
        <v>0</v>
      </c>
    </row>
    <row r="2273" spans="1:4" ht="28.5">
      <c r="A2273" s="78" t="s">
        <v>2401</v>
      </c>
      <c r="B2273" s="76">
        <v>62288</v>
      </c>
      <c r="C2273" s="81">
        <v>0</v>
      </c>
      <c r="D2273" s="82">
        <v>0</v>
      </c>
    </row>
    <row r="2274" spans="1:4" ht="28.5">
      <c r="A2274" s="78" t="s">
        <v>2402</v>
      </c>
      <c r="B2274" s="76">
        <v>62320</v>
      </c>
      <c r="C2274" s="81">
        <v>0</v>
      </c>
      <c r="D2274" s="82">
        <v>0</v>
      </c>
    </row>
    <row r="2275" spans="1:4">
      <c r="A2275" s="78" t="s">
        <v>2403</v>
      </c>
      <c r="B2275" s="76">
        <v>62376</v>
      </c>
      <c r="C2275" s="81">
        <v>0</v>
      </c>
      <c r="D2275" s="82">
        <v>0</v>
      </c>
    </row>
    <row r="2276" spans="1:4" ht="28.5">
      <c r="A2276" s="78" t="s">
        <v>2404</v>
      </c>
      <c r="B2276" s="76">
        <v>62378</v>
      </c>
      <c r="C2276" s="81">
        <v>0</v>
      </c>
      <c r="D2276" s="82">
        <v>0</v>
      </c>
    </row>
    <row r="2277" spans="1:4" ht="28.5">
      <c r="A2277" s="78" t="s">
        <v>2405</v>
      </c>
      <c r="B2277" s="76">
        <v>62379</v>
      </c>
      <c r="C2277" s="81">
        <v>0</v>
      </c>
      <c r="D2277" s="82">
        <v>0</v>
      </c>
    </row>
    <row r="2278" spans="1:4">
      <c r="A2278" s="78" t="s">
        <v>2406</v>
      </c>
      <c r="B2278" s="76">
        <v>62399</v>
      </c>
      <c r="C2278" s="81">
        <v>0</v>
      </c>
      <c r="D2278" s="82">
        <v>0</v>
      </c>
    </row>
    <row r="2279" spans="1:4" ht="28.5">
      <c r="A2279" s="78" t="s">
        <v>2407</v>
      </c>
      <c r="B2279" s="76">
        <v>62406</v>
      </c>
      <c r="C2279" s="81">
        <v>0</v>
      </c>
      <c r="D2279" s="82">
        <v>0</v>
      </c>
    </row>
    <row r="2280" spans="1:4">
      <c r="A2280" s="78" t="s">
        <v>2408</v>
      </c>
      <c r="B2280" s="76">
        <v>62440</v>
      </c>
      <c r="C2280" s="81">
        <v>0</v>
      </c>
      <c r="D2280" s="82">
        <v>0</v>
      </c>
    </row>
    <row r="2281" spans="1:4" ht="28.5">
      <c r="A2281" s="78" t="s">
        <v>2409</v>
      </c>
      <c r="B2281" s="76">
        <v>62445</v>
      </c>
      <c r="C2281" s="81">
        <v>0</v>
      </c>
      <c r="D2281" s="82">
        <v>0</v>
      </c>
    </row>
    <row r="2282" spans="1:4">
      <c r="A2282" s="78" t="s">
        <v>2410</v>
      </c>
      <c r="B2282" s="76">
        <v>62463</v>
      </c>
      <c r="C2282" s="81">
        <v>0</v>
      </c>
      <c r="D2282" s="82">
        <v>0</v>
      </c>
    </row>
    <row r="2283" spans="1:4">
      <c r="A2283" s="78" t="s">
        <v>2411</v>
      </c>
      <c r="B2283" s="76">
        <v>62464</v>
      </c>
      <c r="C2283" s="81">
        <v>0</v>
      </c>
      <c r="D2283" s="82">
        <v>0</v>
      </c>
    </row>
    <row r="2284" spans="1:4">
      <c r="A2284" s="78" t="s">
        <v>2412</v>
      </c>
      <c r="B2284" s="76">
        <v>62465</v>
      </c>
      <c r="C2284" s="81">
        <v>0</v>
      </c>
      <c r="D2284" s="82">
        <v>0</v>
      </c>
    </row>
    <row r="2285" spans="1:4" ht="28.5">
      <c r="A2285" s="78" t="s">
        <v>2413</v>
      </c>
      <c r="B2285" s="76">
        <v>62467</v>
      </c>
      <c r="C2285" s="81">
        <v>0</v>
      </c>
      <c r="D2285" s="82">
        <v>0</v>
      </c>
    </row>
    <row r="2286" spans="1:4" ht="28.5">
      <c r="A2286" s="78" t="s">
        <v>2414</v>
      </c>
      <c r="B2286" s="76">
        <v>62469</v>
      </c>
      <c r="C2286" s="81">
        <v>0</v>
      </c>
      <c r="D2286" s="82">
        <v>0</v>
      </c>
    </row>
    <row r="2287" spans="1:4" ht="28.5">
      <c r="A2287" s="78" t="s">
        <v>2415</v>
      </c>
      <c r="B2287" s="76">
        <v>62470</v>
      </c>
      <c r="C2287" s="81">
        <v>0</v>
      </c>
      <c r="D2287" s="82">
        <v>0</v>
      </c>
    </row>
    <row r="2288" spans="1:4" ht="42.75">
      <c r="A2288" s="78" t="s">
        <v>2416</v>
      </c>
      <c r="B2288" s="76">
        <v>62489</v>
      </c>
      <c r="C2288" s="81">
        <v>0</v>
      </c>
      <c r="D2288" s="82">
        <v>0</v>
      </c>
    </row>
    <row r="2289" spans="1:4">
      <c r="A2289" s="78" t="s">
        <v>2417</v>
      </c>
      <c r="B2289" s="76">
        <v>62516</v>
      </c>
      <c r="C2289" s="81">
        <v>0</v>
      </c>
      <c r="D2289" s="82">
        <v>0</v>
      </c>
    </row>
    <row r="2290" spans="1:4" ht="28.5">
      <c r="A2290" s="78" t="s">
        <v>2418</v>
      </c>
      <c r="B2290" s="76">
        <v>62545</v>
      </c>
      <c r="C2290" s="81">
        <v>0</v>
      </c>
      <c r="D2290" s="82">
        <v>0</v>
      </c>
    </row>
    <row r="2291" spans="1:4">
      <c r="A2291" s="78" t="s">
        <v>2419</v>
      </c>
      <c r="B2291" s="76">
        <v>62546</v>
      </c>
      <c r="C2291" s="81">
        <v>0</v>
      </c>
      <c r="D2291" s="82">
        <v>0</v>
      </c>
    </row>
    <row r="2292" spans="1:4">
      <c r="A2292" s="78" t="s">
        <v>2420</v>
      </c>
      <c r="B2292" s="76">
        <v>62547</v>
      </c>
      <c r="C2292" s="81">
        <v>0</v>
      </c>
      <c r="D2292" s="82">
        <v>0</v>
      </c>
    </row>
    <row r="2293" spans="1:4">
      <c r="A2293" s="78" t="s">
        <v>2421</v>
      </c>
      <c r="B2293" s="76">
        <v>62560</v>
      </c>
      <c r="C2293" s="81">
        <v>0</v>
      </c>
      <c r="D2293" s="82">
        <v>0</v>
      </c>
    </row>
    <row r="2294" spans="1:4">
      <c r="A2294" s="78" t="s">
        <v>2422</v>
      </c>
      <c r="B2294" s="76">
        <v>62591</v>
      </c>
      <c r="C2294" s="81">
        <v>0</v>
      </c>
      <c r="D2294" s="82">
        <v>0</v>
      </c>
    </row>
    <row r="2295" spans="1:4" ht="28.5">
      <c r="A2295" s="78" t="s">
        <v>2423</v>
      </c>
      <c r="B2295" s="76">
        <v>62597</v>
      </c>
      <c r="C2295" s="81">
        <v>0</v>
      </c>
      <c r="D2295" s="82">
        <v>0</v>
      </c>
    </row>
    <row r="2296" spans="1:4" ht="42.75">
      <c r="A2296" s="78" t="s">
        <v>2424</v>
      </c>
      <c r="B2296" s="76">
        <v>62611</v>
      </c>
      <c r="C2296" s="81">
        <v>0</v>
      </c>
      <c r="D2296" s="82">
        <v>0</v>
      </c>
    </row>
    <row r="2297" spans="1:4" ht="57">
      <c r="A2297" s="78" t="s">
        <v>2425</v>
      </c>
      <c r="B2297" s="76">
        <v>62643</v>
      </c>
      <c r="C2297" s="81">
        <v>0</v>
      </c>
      <c r="D2297" s="82">
        <v>0</v>
      </c>
    </row>
    <row r="2298" spans="1:4">
      <c r="A2298" s="78" t="s">
        <v>2426</v>
      </c>
      <c r="B2298" s="76">
        <v>62649</v>
      </c>
      <c r="C2298" s="81">
        <v>0</v>
      </c>
      <c r="D2298" s="82">
        <v>0</v>
      </c>
    </row>
    <row r="2299" spans="1:4" ht="28.5">
      <c r="A2299" s="78" t="s">
        <v>2427</v>
      </c>
      <c r="B2299" s="76">
        <v>62654</v>
      </c>
      <c r="C2299" s="81">
        <v>0</v>
      </c>
      <c r="D2299" s="82">
        <v>0</v>
      </c>
    </row>
    <row r="2300" spans="1:4">
      <c r="A2300" s="78" t="s">
        <v>2428</v>
      </c>
      <c r="B2300" s="76">
        <v>62655</v>
      </c>
      <c r="C2300" s="81">
        <v>0</v>
      </c>
      <c r="D2300" s="82">
        <v>0</v>
      </c>
    </row>
    <row r="2301" spans="1:4">
      <c r="A2301" s="78" t="s">
        <v>2429</v>
      </c>
      <c r="B2301" s="76">
        <v>62663</v>
      </c>
      <c r="C2301" s="81">
        <v>0</v>
      </c>
      <c r="D2301" s="82">
        <v>0</v>
      </c>
    </row>
    <row r="2302" spans="1:4">
      <c r="A2302" s="78" t="s">
        <v>2430</v>
      </c>
      <c r="B2302" s="76">
        <v>62664</v>
      </c>
      <c r="C2302" s="81">
        <v>0</v>
      </c>
      <c r="D2302" s="82">
        <v>0</v>
      </c>
    </row>
    <row r="2303" spans="1:4">
      <c r="A2303" s="78" t="s">
        <v>2431</v>
      </c>
      <c r="B2303" s="76">
        <v>62666</v>
      </c>
      <c r="C2303" s="81">
        <v>0</v>
      </c>
      <c r="D2303" s="82">
        <v>0</v>
      </c>
    </row>
    <row r="2304" spans="1:4" ht="28.5">
      <c r="A2304" s="78" t="s">
        <v>2432</v>
      </c>
      <c r="B2304" s="76">
        <v>62667</v>
      </c>
      <c r="C2304" s="81">
        <v>0</v>
      </c>
      <c r="D2304" s="82">
        <v>0</v>
      </c>
    </row>
    <row r="2305" spans="1:4" ht="28.5">
      <c r="A2305" s="78" t="s">
        <v>2433</v>
      </c>
      <c r="B2305" s="76">
        <v>62673</v>
      </c>
      <c r="C2305" s="81">
        <v>0</v>
      </c>
      <c r="D2305" s="82">
        <v>0</v>
      </c>
    </row>
    <row r="2306" spans="1:4" ht="28.5">
      <c r="A2306" s="78" t="s">
        <v>2434</v>
      </c>
      <c r="B2306" s="76">
        <v>62674</v>
      </c>
      <c r="C2306" s="81">
        <v>0</v>
      </c>
      <c r="D2306" s="82">
        <v>0</v>
      </c>
    </row>
    <row r="2307" spans="1:4" ht="28.5">
      <c r="A2307" s="78" t="s">
        <v>2435</v>
      </c>
      <c r="B2307" s="76">
        <v>62687</v>
      </c>
      <c r="C2307" s="81">
        <v>0</v>
      </c>
      <c r="D2307" s="82">
        <v>0</v>
      </c>
    </row>
    <row r="2308" spans="1:4" ht="28.5">
      <c r="A2308" s="78" t="s">
        <v>2436</v>
      </c>
      <c r="B2308" s="76">
        <v>62688</v>
      </c>
      <c r="C2308" s="81">
        <v>0</v>
      </c>
      <c r="D2308" s="82">
        <v>0</v>
      </c>
    </row>
    <row r="2309" spans="1:4">
      <c r="A2309" s="78" t="s">
        <v>2437</v>
      </c>
      <c r="B2309" s="76">
        <v>62689</v>
      </c>
      <c r="C2309" s="81">
        <v>0</v>
      </c>
      <c r="D2309" s="82">
        <v>0</v>
      </c>
    </row>
    <row r="2310" spans="1:4" ht="28.5">
      <c r="A2310" s="78" t="s">
        <v>2438</v>
      </c>
      <c r="B2310" s="76">
        <v>62690</v>
      </c>
      <c r="C2310" s="81">
        <v>0</v>
      </c>
      <c r="D2310" s="82">
        <v>0</v>
      </c>
    </row>
    <row r="2311" spans="1:4" ht="28.5">
      <c r="A2311" s="78" t="s">
        <v>2439</v>
      </c>
      <c r="B2311" s="76">
        <v>62718</v>
      </c>
      <c r="C2311" s="81">
        <v>0</v>
      </c>
      <c r="D2311" s="82">
        <v>0</v>
      </c>
    </row>
    <row r="2312" spans="1:4" ht="28.5">
      <c r="A2312" s="78" t="s">
        <v>2440</v>
      </c>
      <c r="B2312" s="76">
        <v>62719</v>
      </c>
      <c r="C2312" s="81">
        <v>0</v>
      </c>
      <c r="D2312" s="82">
        <v>0</v>
      </c>
    </row>
    <row r="2313" spans="1:4" ht="28.5">
      <c r="A2313" s="78" t="s">
        <v>2441</v>
      </c>
      <c r="B2313" s="76">
        <v>62732</v>
      </c>
      <c r="C2313" s="81">
        <v>0</v>
      </c>
      <c r="D2313" s="82">
        <v>0</v>
      </c>
    </row>
    <row r="2314" spans="1:4">
      <c r="A2314" s="78" t="s">
        <v>2442</v>
      </c>
      <c r="B2314" s="76">
        <v>62745</v>
      </c>
      <c r="C2314" s="81">
        <v>0</v>
      </c>
      <c r="D2314" s="82">
        <v>0</v>
      </c>
    </row>
    <row r="2315" spans="1:4" ht="28.5">
      <c r="A2315" s="78" t="s">
        <v>2443</v>
      </c>
      <c r="B2315" s="76">
        <v>62756</v>
      </c>
      <c r="C2315" s="81">
        <v>0</v>
      </c>
      <c r="D2315" s="82">
        <v>0</v>
      </c>
    </row>
    <row r="2316" spans="1:4" ht="28.5">
      <c r="A2316" s="78" t="s">
        <v>2444</v>
      </c>
      <c r="B2316" s="76">
        <v>62805</v>
      </c>
      <c r="C2316" s="81">
        <v>0</v>
      </c>
      <c r="D2316" s="82">
        <v>0</v>
      </c>
    </row>
    <row r="2317" spans="1:4" ht="42.75">
      <c r="A2317" s="78" t="s">
        <v>2445</v>
      </c>
      <c r="B2317" s="76">
        <v>62806</v>
      </c>
      <c r="C2317" s="81">
        <v>0</v>
      </c>
      <c r="D2317" s="82">
        <v>0</v>
      </c>
    </row>
    <row r="2318" spans="1:4">
      <c r="A2318" s="78" t="s">
        <v>2446</v>
      </c>
      <c r="B2318" s="76">
        <v>62812</v>
      </c>
      <c r="C2318" s="81">
        <v>0</v>
      </c>
      <c r="D2318" s="82">
        <v>0</v>
      </c>
    </row>
    <row r="2319" spans="1:4" ht="28.5">
      <c r="A2319" s="78" t="s">
        <v>2447</v>
      </c>
      <c r="B2319" s="76">
        <v>62840</v>
      </c>
      <c r="C2319" s="81">
        <v>0</v>
      </c>
      <c r="D2319" s="82">
        <v>0</v>
      </c>
    </row>
    <row r="2320" spans="1:4" ht="28.5">
      <c r="A2320" s="78" t="s">
        <v>2448</v>
      </c>
      <c r="B2320" s="76">
        <v>62877</v>
      </c>
      <c r="C2320" s="81">
        <v>0</v>
      </c>
      <c r="D2320" s="82">
        <v>0</v>
      </c>
    </row>
    <row r="2321" spans="1:4">
      <c r="A2321" s="78" t="s">
        <v>2449</v>
      </c>
      <c r="B2321" s="76">
        <v>62899</v>
      </c>
      <c r="C2321" s="81">
        <v>0</v>
      </c>
      <c r="D2321" s="82">
        <v>0</v>
      </c>
    </row>
    <row r="2322" spans="1:4" ht="28.5">
      <c r="A2322" s="78" t="s">
        <v>2450</v>
      </c>
      <c r="B2322" s="76">
        <v>62902</v>
      </c>
      <c r="C2322" s="81">
        <v>0</v>
      </c>
      <c r="D2322" s="82">
        <v>0</v>
      </c>
    </row>
    <row r="2323" spans="1:4" ht="28.5">
      <c r="A2323" s="78" t="s">
        <v>2451</v>
      </c>
      <c r="B2323" s="76">
        <v>62935</v>
      </c>
      <c r="C2323" s="81">
        <v>0</v>
      </c>
      <c r="D2323" s="82">
        <v>0</v>
      </c>
    </row>
    <row r="2324" spans="1:4">
      <c r="A2324" s="78" t="s">
        <v>2452</v>
      </c>
      <c r="B2324" s="76">
        <v>62939</v>
      </c>
      <c r="C2324" s="81">
        <v>0</v>
      </c>
      <c r="D2324" s="82">
        <v>0</v>
      </c>
    </row>
    <row r="2325" spans="1:4" ht="28.5">
      <c r="A2325" s="78" t="s">
        <v>2453</v>
      </c>
      <c r="B2325" s="76">
        <v>62952</v>
      </c>
      <c r="C2325" s="81">
        <v>0</v>
      </c>
      <c r="D2325" s="82">
        <v>0</v>
      </c>
    </row>
    <row r="2326" spans="1:4" ht="28.5">
      <c r="A2326" s="78" t="s">
        <v>2454</v>
      </c>
      <c r="B2326" s="76">
        <v>62987</v>
      </c>
      <c r="C2326" s="81">
        <v>0</v>
      </c>
      <c r="D2326" s="82">
        <v>0</v>
      </c>
    </row>
    <row r="2327" spans="1:4">
      <c r="A2327" s="78" t="s">
        <v>2455</v>
      </c>
      <c r="B2327" s="76">
        <v>62988</v>
      </c>
      <c r="C2327" s="81">
        <v>0</v>
      </c>
      <c r="D2327" s="82">
        <v>0</v>
      </c>
    </row>
    <row r="2328" spans="1:4" ht="28.5">
      <c r="A2328" s="78" t="s">
        <v>2456</v>
      </c>
      <c r="B2328" s="76">
        <v>62994</v>
      </c>
      <c r="C2328" s="81">
        <v>0</v>
      </c>
      <c r="D2328" s="82">
        <v>0</v>
      </c>
    </row>
    <row r="2329" spans="1:4">
      <c r="A2329" s="78" t="s">
        <v>2457</v>
      </c>
      <c r="B2329" s="76">
        <v>62995</v>
      </c>
      <c r="C2329" s="81">
        <v>0</v>
      </c>
      <c r="D2329" s="82">
        <v>0</v>
      </c>
    </row>
    <row r="2330" spans="1:4" ht="42.75">
      <c r="A2330" s="78" t="s">
        <v>2458</v>
      </c>
      <c r="B2330" s="76">
        <v>63021</v>
      </c>
      <c r="C2330" s="81">
        <v>0</v>
      </c>
      <c r="D2330" s="82">
        <v>0</v>
      </c>
    </row>
    <row r="2331" spans="1:4" ht="28.5">
      <c r="A2331" s="78" t="s">
        <v>2459</v>
      </c>
      <c r="B2331" s="76">
        <v>63049</v>
      </c>
      <c r="C2331" s="81">
        <v>0</v>
      </c>
      <c r="D2331" s="82">
        <v>0</v>
      </c>
    </row>
    <row r="2332" spans="1:4" ht="28.5">
      <c r="A2332" s="78" t="s">
        <v>2460</v>
      </c>
      <c r="B2332" s="76">
        <v>63050</v>
      </c>
      <c r="C2332" s="81">
        <v>0</v>
      </c>
      <c r="D2332" s="82">
        <v>0</v>
      </c>
    </row>
    <row r="2333" spans="1:4">
      <c r="A2333" s="78" t="s">
        <v>2461</v>
      </c>
      <c r="B2333" s="76">
        <v>63054</v>
      </c>
      <c r="C2333" s="81">
        <v>0</v>
      </c>
      <c r="D2333" s="82">
        <v>0</v>
      </c>
    </row>
    <row r="2334" spans="1:4" ht="42.75">
      <c r="A2334" s="78" t="s">
        <v>2462</v>
      </c>
      <c r="B2334" s="76">
        <v>63061</v>
      </c>
      <c r="C2334" s="81">
        <v>0</v>
      </c>
      <c r="D2334" s="82">
        <v>0</v>
      </c>
    </row>
    <row r="2335" spans="1:4" ht="42.75">
      <c r="A2335" s="78" t="s">
        <v>2463</v>
      </c>
      <c r="B2335" s="76">
        <v>63068</v>
      </c>
      <c r="C2335" s="81">
        <v>0</v>
      </c>
      <c r="D2335" s="82">
        <v>0</v>
      </c>
    </row>
    <row r="2336" spans="1:4" ht="42.75">
      <c r="A2336" s="78" t="s">
        <v>2464</v>
      </c>
      <c r="B2336" s="76">
        <v>63074</v>
      </c>
      <c r="C2336" s="81">
        <v>0</v>
      </c>
      <c r="D2336" s="82">
        <v>0</v>
      </c>
    </row>
    <row r="2337" spans="1:4">
      <c r="A2337" s="78" t="s">
        <v>2465</v>
      </c>
      <c r="B2337" s="76">
        <v>63078</v>
      </c>
      <c r="C2337" s="81">
        <v>0</v>
      </c>
      <c r="D2337" s="82">
        <v>0</v>
      </c>
    </row>
    <row r="2338" spans="1:4" ht="28.5">
      <c r="A2338" s="78" t="s">
        <v>2466</v>
      </c>
      <c r="B2338" s="76">
        <v>63081</v>
      </c>
      <c r="C2338" s="81">
        <v>0</v>
      </c>
      <c r="D2338" s="82">
        <v>0</v>
      </c>
    </row>
    <row r="2339" spans="1:4" ht="28.5">
      <c r="A2339" s="78" t="s">
        <v>2467</v>
      </c>
      <c r="B2339" s="76">
        <v>63082</v>
      </c>
      <c r="C2339" s="81">
        <v>0</v>
      </c>
      <c r="D2339" s="82">
        <v>0</v>
      </c>
    </row>
    <row r="2340" spans="1:4">
      <c r="A2340" s="78" t="s">
        <v>2468</v>
      </c>
      <c r="B2340" s="76">
        <v>63123</v>
      </c>
      <c r="C2340" s="81">
        <v>0</v>
      </c>
      <c r="D2340" s="82">
        <v>0</v>
      </c>
    </row>
    <row r="2341" spans="1:4">
      <c r="A2341" s="78" t="s">
        <v>2469</v>
      </c>
      <c r="B2341" s="76">
        <v>63124</v>
      </c>
      <c r="C2341" s="81">
        <v>0</v>
      </c>
      <c r="D2341" s="82">
        <v>0</v>
      </c>
    </row>
    <row r="2342" spans="1:4" ht="28.5">
      <c r="A2342" s="78" t="s">
        <v>2470</v>
      </c>
      <c r="B2342" s="76">
        <v>63125</v>
      </c>
      <c r="C2342" s="81">
        <v>0</v>
      </c>
      <c r="D2342" s="82">
        <v>0</v>
      </c>
    </row>
    <row r="2343" spans="1:4">
      <c r="A2343" s="78" t="s">
        <v>2471</v>
      </c>
      <c r="B2343" s="76">
        <v>63127</v>
      </c>
      <c r="C2343" s="81">
        <v>0</v>
      </c>
      <c r="D2343" s="82">
        <v>0</v>
      </c>
    </row>
    <row r="2344" spans="1:4" ht="28.5">
      <c r="A2344" s="78" t="s">
        <v>2472</v>
      </c>
      <c r="B2344" s="76">
        <v>63133</v>
      </c>
      <c r="C2344" s="81">
        <v>0</v>
      </c>
      <c r="D2344" s="82">
        <v>0</v>
      </c>
    </row>
    <row r="2345" spans="1:4">
      <c r="A2345" s="78" t="s">
        <v>2473</v>
      </c>
      <c r="B2345" s="76">
        <v>63163</v>
      </c>
      <c r="C2345" s="81">
        <v>0</v>
      </c>
      <c r="D2345" s="82">
        <v>0</v>
      </c>
    </row>
    <row r="2346" spans="1:4">
      <c r="A2346" s="78" t="s">
        <v>2474</v>
      </c>
      <c r="B2346" s="76">
        <v>63164</v>
      </c>
      <c r="C2346" s="81">
        <v>0</v>
      </c>
      <c r="D2346" s="82">
        <v>0</v>
      </c>
    </row>
    <row r="2347" spans="1:4" ht="28.5">
      <c r="A2347" s="78" t="s">
        <v>2475</v>
      </c>
      <c r="B2347" s="76">
        <v>63184</v>
      </c>
      <c r="C2347" s="81">
        <v>0</v>
      </c>
      <c r="D2347" s="82">
        <v>0</v>
      </c>
    </row>
    <row r="2348" spans="1:4">
      <c r="A2348" s="78" t="s">
        <v>2476</v>
      </c>
      <c r="B2348" s="76">
        <v>63189</v>
      </c>
      <c r="C2348" s="81">
        <v>0</v>
      </c>
      <c r="D2348" s="82">
        <v>0</v>
      </c>
    </row>
    <row r="2349" spans="1:4">
      <c r="A2349" s="78" t="s">
        <v>2477</v>
      </c>
      <c r="B2349" s="76">
        <v>63204</v>
      </c>
      <c r="C2349" s="81">
        <v>0</v>
      </c>
      <c r="D2349" s="82">
        <v>0</v>
      </c>
    </row>
    <row r="2350" spans="1:4">
      <c r="A2350" s="78" t="s">
        <v>2478</v>
      </c>
      <c r="B2350" s="76">
        <v>63206</v>
      </c>
      <c r="C2350" s="81">
        <v>0</v>
      </c>
      <c r="D2350" s="82">
        <v>0</v>
      </c>
    </row>
    <row r="2351" spans="1:4">
      <c r="A2351" s="78" t="s">
        <v>2479</v>
      </c>
      <c r="B2351" s="76">
        <v>63207</v>
      </c>
      <c r="C2351" s="81">
        <v>0</v>
      </c>
      <c r="D2351" s="82">
        <v>0</v>
      </c>
    </row>
    <row r="2352" spans="1:4">
      <c r="A2352" s="78" t="s">
        <v>2480</v>
      </c>
      <c r="B2352" s="76">
        <v>63208</v>
      </c>
      <c r="C2352" s="81">
        <v>0</v>
      </c>
      <c r="D2352" s="82">
        <v>0</v>
      </c>
    </row>
    <row r="2353" spans="1:4" ht="28.5">
      <c r="A2353" s="78" t="s">
        <v>2481</v>
      </c>
      <c r="B2353" s="76">
        <v>63235</v>
      </c>
      <c r="C2353" s="81">
        <v>0</v>
      </c>
      <c r="D2353" s="82">
        <v>0</v>
      </c>
    </row>
    <row r="2354" spans="1:4">
      <c r="A2354" s="78" t="s">
        <v>2482</v>
      </c>
      <c r="B2354" s="76">
        <v>63276</v>
      </c>
      <c r="C2354" s="81">
        <v>0</v>
      </c>
      <c r="D2354" s="82">
        <v>0</v>
      </c>
    </row>
    <row r="2355" spans="1:4">
      <c r="A2355" s="78" t="s">
        <v>2483</v>
      </c>
      <c r="B2355" s="76">
        <v>63277</v>
      </c>
      <c r="C2355" s="81">
        <v>0</v>
      </c>
      <c r="D2355" s="82">
        <v>0</v>
      </c>
    </row>
    <row r="2356" spans="1:4" ht="28.5">
      <c r="A2356" s="78" t="s">
        <v>2484</v>
      </c>
      <c r="B2356" s="76">
        <v>63278</v>
      </c>
      <c r="C2356" s="81">
        <v>0</v>
      </c>
      <c r="D2356" s="82">
        <v>0</v>
      </c>
    </row>
    <row r="2357" spans="1:4" ht="28.5">
      <c r="A2357" s="78" t="s">
        <v>2485</v>
      </c>
      <c r="B2357" s="76">
        <v>63300</v>
      </c>
      <c r="C2357" s="81">
        <v>0</v>
      </c>
      <c r="D2357" s="82">
        <v>0</v>
      </c>
    </row>
    <row r="2358" spans="1:4">
      <c r="A2358" s="78" t="s">
        <v>2486</v>
      </c>
      <c r="B2358" s="76">
        <v>63301</v>
      </c>
      <c r="C2358" s="81">
        <v>0</v>
      </c>
      <c r="D2358" s="82">
        <v>0</v>
      </c>
    </row>
    <row r="2359" spans="1:4" ht="28.5">
      <c r="A2359" s="78" t="s">
        <v>2487</v>
      </c>
      <c r="B2359" s="76">
        <v>63303</v>
      </c>
      <c r="C2359" s="81">
        <v>0</v>
      </c>
      <c r="D2359" s="82">
        <v>0</v>
      </c>
    </row>
    <row r="2360" spans="1:4">
      <c r="A2360" s="78" t="s">
        <v>2488</v>
      </c>
      <c r="B2360" s="76">
        <v>63330</v>
      </c>
      <c r="C2360" s="81">
        <v>0</v>
      </c>
      <c r="D2360" s="82">
        <v>0</v>
      </c>
    </row>
    <row r="2361" spans="1:4" ht="28.5">
      <c r="A2361" s="78" t="s">
        <v>2489</v>
      </c>
      <c r="B2361" s="76">
        <v>63331</v>
      </c>
      <c r="C2361" s="81">
        <v>0</v>
      </c>
      <c r="D2361" s="82">
        <v>0</v>
      </c>
    </row>
    <row r="2362" spans="1:4">
      <c r="A2362" s="78" t="s">
        <v>2490</v>
      </c>
      <c r="B2362" s="76">
        <v>63344</v>
      </c>
      <c r="C2362" s="81">
        <v>0</v>
      </c>
      <c r="D2362" s="82">
        <v>0</v>
      </c>
    </row>
    <row r="2363" spans="1:4">
      <c r="A2363" s="78" t="s">
        <v>2491</v>
      </c>
      <c r="B2363" s="76">
        <v>63349</v>
      </c>
      <c r="C2363" s="81">
        <v>0</v>
      </c>
      <c r="D2363" s="82">
        <v>0</v>
      </c>
    </row>
    <row r="2364" spans="1:4" ht="28.5">
      <c r="A2364" s="78" t="s">
        <v>2492</v>
      </c>
      <c r="B2364" s="76">
        <v>63352</v>
      </c>
      <c r="C2364" s="81">
        <v>0</v>
      </c>
      <c r="D2364" s="82">
        <v>0</v>
      </c>
    </row>
    <row r="2365" spans="1:4" ht="28.5">
      <c r="A2365" s="78" t="s">
        <v>2493</v>
      </c>
      <c r="B2365" s="76">
        <v>63361</v>
      </c>
      <c r="C2365" s="81">
        <v>0</v>
      </c>
      <c r="D2365" s="82">
        <v>0</v>
      </c>
    </row>
    <row r="2366" spans="1:4" ht="28.5">
      <c r="A2366" s="78" t="s">
        <v>2494</v>
      </c>
      <c r="B2366" s="76">
        <v>63363</v>
      </c>
      <c r="C2366" s="81">
        <v>0</v>
      </c>
      <c r="D2366" s="82">
        <v>0</v>
      </c>
    </row>
    <row r="2367" spans="1:4">
      <c r="A2367" s="78" t="s">
        <v>2495</v>
      </c>
      <c r="B2367" s="76">
        <v>63379</v>
      </c>
      <c r="C2367" s="81">
        <v>0</v>
      </c>
      <c r="D2367" s="82">
        <v>0</v>
      </c>
    </row>
    <row r="2368" spans="1:4" ht="57">
      <c r="A2368" s="78" t="s">
        <v>2496</v>
      </c>
      <c r="B2368" s="76">
        <v>63385</v>
      </c>
      <c r="C2368" s="81">
        <v>0</v>
      </c>
      <c r="D2368" s="82">
        <v>0</v>
      </c>
    </row>
    <row r="2369" spans="1:4" ht="28.5">
      <c r="A2369" s="78" t="s">
        <v>2497</v>
      </c>
      <c r="B2369" s="76">
        <v>63387</v>
      </c>
      <c r="C2369" s="81">
        <v>0</v>
      </c>
      <c r="D2369" s="82">
        <v>0</v>
      </c>
    </row>
    <row r="2370" spans="1:4" ht="28.5">
      <c r="A2370" s="78" t="s">
        <v>2498</v>
      </c>
      <c r="B2370" s="76">
        <v>63391</v>
      </c>
      <c r="C2370" s="81">
        <v>0</v>
      </c>
      <c r="D2370" s="82">
        <v>0</v>
      </c>
    </row>
    <row r="2371" spans="1:4">
      <c r="A2371" s="78" t="s">
        <v>2499</v>
      </c>
      <c r="B2371" s="76">
        <v>63414</v>
      </c>
      <c r="C2371" s="81">
        <v>0</v>
      </c>
      <c r="D2371" s="82">
        <v>0</v>
      </c>
    </row>
    <row r="2372" spans="1:4" ht="42.75">
      <c r="A2372" s="78" t="s">
        <v>2500</v>
      </c>
      <c r="B2372" s="76">
        <v>63416</v>
      </c>
      <c r="C2372" s="81">
        <v>0</v>
      </c>
      <c r="D2372" s="82">
        <v>0</v>
      </c>
    </row>
    <row r="2373" spans="1:4" ht="28.5">
      <c r="A2373" s="78" t="s">
        <v>2501</v>
      </c>
      <c r="B2373" s="76">
        <v>63418</v>
      </c>
      <c r="C2373" s="81">
        <v>0</v>
      </c>
      <c r="D2373" s="82">
        <v>0</v>
      </c>
    </row>
    <row r="2374" spans="1:4" ht="42.75">
      <c r="A2374" s="78" t="s">
        <v>2502</v>
      </c>
      <c r="B2374" s="76">
        <v>63419</v>
      </c>
      <c r="C2374" s="81">
        <v>0</v>
      </c>
      <c r="D2374" s="82">
        <v>0</v>
      </c>
    </row>
    <row r="2375" spans="1:4" ht="42.75">
      <c r="A2375" s="78" t="s">
        <v>2503</v>
      </c>
      <c r="B2375" s="76">
        <v>63420</v>
      </c>
      <c r="C2375" s="81">
        <v>0</v>
      </c>
      <c r="D2375" s="82">
        <v>0</v>
      </c>
    </row>
    <row r="2376" spans="1:4" ht="42.75">
      <c r="A2376" s="78" t="s">
        <v>2504</v>
      </c>
      <c r="B2376" s="76">
        <v>63421</v>
      </c>
      <c r="C2376" s="81">
        <v>0</v>
      </c>
      <c r="D2376" s="82">
        <v>0</v>
      </c>
    </row>
    <row r="2377" spans="1:4" ht="42.75">
      <c r="A2377" s="78" t="s">
        <v>2505</v>
      </c>
      <c r="B2377" s="76">
        <v>63422</v>
      </c>
      <c r="C2377" s="81">
        <v>0</v>
      </c>
      <c r="D2377" s="82">
        <v>0</v>
      </c>
    </row>
    <row r="2378" spans="1:4" ht="28.5">
      <c r="A2378" s="78" t="s">
        <v>2506</v>
      </c>
      <c r="B2378" s="76">
        <v>63436</v>
      </c>
      <c r="C2378" s="81">
        <v>0</v>
      </c>
      <c r="D2378" s="82">
        <v>0</v>
      </c>
    </row>
    <row r="2379" spans="1:4">
      <c r="A2379" s="78" t="s">
        <v>2507</v>
      </c>
      <c r="B2379" s="76">
        <v>63440</v>
      </c>
      <c r="C2379" s="81">
        <v>0</v>
      </c>
      <c r="D2379" s="82">
        <v>0</v>
      </c>
    </row>
    <row r="2380" spans="1:4">
      <c r="A2380" s="78" t="s">
        <v>2508</v>
      </c>
      <c r="B2380" s="76">
        <v>63442</v>
      </c>
      <c r="C2380" s="81">
        <v>0</v>
      </c>
      <c r="D2380" s="82">
        <v>0</v>
      </c>
    </row>
    <row r="2381" spans="1:4" ht="28.5">
      <c r="A2381" s="78" t="s">
        <v>2509</v>
      </c>
      <c r="B2381" s="76">
        <v>63443</v>
      </c>
      <c r="C2381" s="81">
        <v>0</v>
      </c>
      <c r="D2381" s="82">
        <v>0</v>
      </c>
    </row>
    <row r="2382" spans="1:4">
      <c r="A2382" s="78" t="s">
        <v>2510</v>
      </c>
      <c r="B2382" s="76">
        <v>63455</v>
      </c>
      <c r="C2382" s="81">
        <v>0</v>
      </c>
      <c r="D2382" s="82">
        <v>0</v>
      </c>
    </row>
    <row r="2383" spans="1:4">
      <c r="A2383" s="78" t="s">
        <v>2511</v>
      </c>
      <c r="B2383" s="76">
        <v>63456</v>
      </c>
      <c r="C2383" s="81">
        <v>0</v>
      </c>
      <c r="D2383" s="82">
        <v>0</v>
      </c>
    </row>
    <row r="2384" spans="1:4">
      <c r="A2384" s="78" t="s">
        <v>2512</v>
      </c>
      <c r="B2384" s="76">
        <v>63462</v>
      </c>
      <c r="C2384" s="81">
        <v>0</v>
      </c>
      <c r="D2384" s="82">
        <v>0</v>
      </c>
    </row>
    <row r="2385" spans="1:4">
      <c r="A2385" s="78" t="s">
        <v>2513</v>
      </c>
      <c r="B2385" s="76">
        <v>63464</v>
      </c>
      <c r="C2385" s="81">
        <v>0</v>
      </c>
      <c r="D2385" s="82">
        <v>0</v>
      </c>
    </row>
    <row r="2386" spans="1:4">
      <c r="A2386" s="78" t="s">
        <v>2514</v>
      </c>
      <c r="B2386" s="76">
        <v>63465</v>
      </c>
      <c r="C2386" s="81">
        <v>0</v>
      </c>
      <c r="D2386" s="82">
        <v>0</v>
      </c>
    </row>
    <row r="2387" spans="1:4">
      <c r="A2387" s="78" t="s">
        <v>2515</v>
      </c>
      <c r="B2387" s="76">
        <v>63466</v>
      </c>
      <c r="C2387" s="81">
        <v>0</v>
      </c>
      <c r="D2387" s="82">
        <v>0</v>
      </c>
    </row>
    <row r="2388" spans="1:4">
      <c r="A2388" s="78" t="s">
        <v>2516</v>
      </c>
      <c r="B2388" s="76">
        <v>63467</v>
      </c>
      <c r="C2388" s="81">
        <v>0</v>
      </c>
      <c r="D2388" s="82">
        <v>0</v>
      </c>
    </row>
    <row r="2389" spans="1:4">
      <c r="A2389" s="78" t="s">
        <v>2517</v>
      </c>
      <c r="B2389" s="76">
        <v>63476</v>
      </c>
      <c r="C2389" s="81">
        <v>0</v>
      </c>
      <c r="D2389" s="82">
        <v>0</v>
      </c>
    </row>
    <row r="2390" spans="1:4" ht="28.5">
      <c r="A2390" s="78" t="s">
        <v>2518</v>
      </c>
      <c r="B2390" s="76">
        <v>63477</v>
      </c>
      <c r="C2390" s="81">
        <v>0</v>
      </c>
      <c r="D2390" s="82">
        <v>0</v>
      </c>
    </row>
    <row r="2391" spans="1:4">
      <c r="A2391" s="78" t="s">
        <v>2519</v>
      </c>
      <c r="B2391" s="76">
        <v>63482</v>
      </c>
      <c r="C2391" s="81">
        <v>0</v>
      </c>
      <c r="D2391" s="82">
        <v>0</v>
      </c>
    </row>
    <row r="2392" spans="1:4" ht="28.5">
      <c r="A2392" s="78" t="s">
        <v>2520</v>
      </c>
      <c r="B2392" s="76">
        <v>63486</v>
      </c>
      <c r="C2392" s="81">
        <v>0</v>
      </c>
      <c r="D2392" s="82">
        <v>0</v>
      </c>
    </row>
    <row r="2393" spans="1:4">
      <c r="A2393" s="78" t="s">
        <v>2521</v>
      </c>
      <c r="B2393" s="76">
        <v>63487</v>
      </c>
      <c r="C2393" s="81">
        <v>0</v>
      </c>
      <c r="D2393" s="82">
        <v>0</v>
      </c>
    </row>
    <row r="2394" spans="1:4" ht="28.5">
      <c r="A2394" s="78" t="s">
        <v>2522</v>
      </c>
      <c r="B2394" s="76">
        <v>63493</v>
      </c>
      <c r="C2394" s="81">
        <v>0</v>
      </c>
      <c r="D2394" s="82">
        <v>0</v>
      </c>
    </row>
    <row r="2395" spans="1:4" ht="28.5">
      <c r="A2395" s="78" t="s">
        <v>2523</v>
      </c>
      <c r="B2395" s="76">
        <v>63502</v>
      </c>
      <c r="C2395" s="81">
        <v>0</v>
      </c>
      <c r="D2395" s="82">
        <v>0</v>
      </c>
    </row>
    <row r="2396" spans="1:4" ht="28.5">
      <c r="A2396" s="78" t="s">
        <v>2524</v>
      </c>
      <c r="B2396" s="76">
        <v>63504</v>
      </c>
      <c r="C2396" s="81">
        <v>0</v>
      </c>
      <c r="D2396" s="82">
        <v>0</v>
      </c>
    </row>
    <row r="2397" spans="1:4">
      <c r="A2397" s="78" t="s">
        <v>2525</v>
      </c>
      <c r="B2397" s="76">
        <v>63509</v>
      </c>
      <c r="C2397" s="81">
        <v>0</v>
      </c>
      <c r="D2397" s="82">
        <v>0</v>
      </c>
    </row>
    <row r="2398" spans="1:4" ht="42.75">
      <c r="A2398" s="78" t="s">
        <v>2526</v>
      </c>
      <c r="B2398" s="76">
        <v>63510</v>
      </c>
      <c r="C2398" s="81">
        <v>0</v>
      </c>
      <c r="D2398" s="82">
        <v>0</v>
      </c>
    </row>
    <row r="2399" spans="1:4" ht="28.5">
      <c r="A2399" s="78" t="s">
        <v>2527</v>
      </c>
      <c r="B2399" s="76">
        <v>63514</v>
      </c>
      <c r="C2399" s="81">
        <v>0</v>
      </c>
      <c r="D2399" s="82">
        <v>0</v>
      </c>
    </row>
    <row r="2400" spans="1:4">
      <c r="A2400" s="78" t="s">
        <v>2528</v>
      </c>
      <c r="B2400" s="76">
        <v>63516</v>
      </c>
      <c r="C2400" s="81">
        <v>0</v>
      </c>
      <c r="D2400" s="82">
        <v>0</v>
      </c>
    </row>
    <row r="2401" spans="1:4" ht="42.75">
      <c r="A2401" s="78" t="s">
        <v>2529</v>
      </c>
      <c r="B2401" s="76">
        <v>63527</v>
      </c>
      <c r="C2401" s="81">
        <v>0</v>
      </c>
      <c r="D2401" s="82">
        <v>0</v>
      </c>
    </row>
    <row r="2402" spans="1:4" ht="28.5">
      <c r="A2402" s="78" t="s">
        <v>2530</v>
      </c>
      <c r="B2402" s="76">
        <v>63531</v>
      </c>
      <c r="C2402" s="81">
        <v>0</v>
      </c>
      <c r="D2402" s="82">
        <v>0</v>
      </c>
    </row>
    <row r="2403" spans="1:4" ht="28.5">
      <c r="A2403" s="78" t="s">
        <v>2531</v>
      </c>
      <c r="B2403" s="76">
        <v>63536</v>
      </c>
      <c r="C2403" s="81">
        <v>0</v>
      </c>
      <c r="D2403" s="82">
        <v>0</v>
      </c>
    </row>
    <row r="2404" spans="1:4" ht="28.5">
      <c r="A2404" s="78" t="s">
        <v>2532</v>
      </c>
      <c r="B2404" s="76">
        <v>63545</v>
      </c>
      <c r="C2404" s="81">
        <v>0</v>
      </c>
      <c r="D2404" s="82">
        <v>0</v>
      </c>
    </row>
    <row r="2405" spans="1:4" ht="42.75">
      <c r="A2405" s="78" t="s">
        <v>2533</v>
      </c>
      <c r="B2405" s="76">
        <v>63554</v>
      </c>
      <c r="C2405" s="81">
        <v>0</v>
      </c>
      <c r="D2405" s="82">
        <v>0</v>
      </c>
    </row>
    <row r="2406" spans="1:4" ht="28.5">
      <c r="A2406" s="78" t="s">
        <v>2534</v>
      </c>
      <c r="B2406" s="76">
        <v>63579</v>
      </c>
      <c r="C2406" s="81">
        <v>0</v>
      </c>
      <c r="D2406" s="82">
        <v>0</v>
      </c>
    </row>
    <row r="2407" spans="1:4">
      <c r="A2407" s="78" t="s">
        <v>2535</v>
      </c>
      <c r="B2407" s="76">
        <v>63586</v>
      </c>
      <c r="C2407" s="81">
        <v>0</v>
      </c>
      <c r="D2407" s="82">
        <v>0</v>
      </c>
    </row>
    <row r="2408" spans="1:4">
      <c r="A2408" s="78" t="s">
        <v>2536</v>
      </c>
      <c r="B2408" s="76">
        <v>63587</v>
      </c>
      <c r="C2408" s="81">
        <v>0</v>
      </c>
      <c r="D2408" s="82">
        <v>0</v>
      </c>
    </row>
    <row r="2409" spans="1:4" ht="28.5">
      <c r="A2409" s="78" t="s">
        <v>2537</v>
      </c>
      <c r="B2409" s="76">
        <v>63623</v>
      </c>
      <c r="C2409" s="81">
        <v>0</v>
      </c>
      <c r="D2409" s="82">
        <v>0</v>
      </c>
    </row>
    <row r="2410" spans="1:4">
      <c r="A2410" s="78" t="s">
        <v>2538</v>
      </c>
      <c r="B2410" s="76">
        <v>63636</v>
      </c>
      <c r="C2410" s="81">
        <v>0</v>
      </c>
      <c r="D2410" s="82">
        <v>0</v>
      </c>
    </row>
    <row r="2411" spans="1:4">
      <c r="A2411" s="78" t="s">
        <v>2539</v>
      </c>
      <c r="B2411" s="76">
        <v>63642</v>
      </c>
      <c r="C2411" s="81">
        <v>0</v>
      </c>
      <c r="D2411" s="82">
        <v>0</v>
      </c>
    </row>
    <row r="2412" spans="1:4" ht="28.5">
      <c r="A2412" s="78" t="s">
        <v>2540</v>
      </c>
      <c r="B2412" s="76">
        <v>63651</v>
      </c>
      <c r="C2412" s="81">
        <v>0</v>
      </c>
      <c r="D2412" s="82">
        <v>0</v>
      </c>
    </row>
    <row r="2413" spans="1:4">
      <c r="A2413" s="78" t="s">
        <v>2541</v>
      </c>
      <c r="B2413" s="76">
        <v>63663</v>
      </c>
      <c r="C2413" s="81">
        <v>0</v>
      </c>
      <c r="D2413" s="82">
        <v>0</v>
      </c>
    </row>
    <row r="2414" spans="1:4" ht="28.5">
      <c r="A2414" s="78" t="s">
        <v>2542</v>
      </c>
      <c r="B2414" s="76">
        <v>63664</v>
      </c>
      <c r="C2414" s="81">
        <v>0</v>
      </c>
      <c r="D2414" s="82">
        <v>0</v>
      </c>
    </row>
    <row r="2415" spans="1:4">
      <c r="A2415" s="78" t="s">
        <v>2543</v>
      </c>
      <c r="B2415" s="76">
        <v>63665</v>
      </c>
      <c r="C2415" s="81">
        <v>0</v>
      </c>
      <c r="D2415" s="82">
        <v>0</v>
      </c>
    </row>
    <row r="2416" spans="1:4" ht="28.5">
      <c r="A2416" s="78" t="s">
        <v>2544</v>
      </c>
      <c r="B2416" s="76">
        <v>63681</v>
      </c>
      <c r="C2416" s="81">
        <v>0</v>
      </c>
      <c r="D2416" s="82">
        <v>0</v>
      </c>
    </row>
    <row r="2417" spans="1:4">
      <c r="A2417" s="78" t="s">
        <v>2545</v>
      </c>
      <c r="B2417" s="76">
        <v>63694</v>
      </c>
      <c r="C2417" s="81">
        <v>0</v>
      </c>
      <c r="D2417" s="82">
        <v>0</v>
      </c>
    </row>
    <row r="2418" spans="1:4">
      <c r="A2418" s="78" t="s">
        <v>2546</v>
      </c>
      <c r="B2418" s="76">
        <v>63710</v>
      </c>
      <c r="C2418" s="81">
        <v>0</v>
      </c>
      <c r="D2418" s="82">
        <v>0</v>
      </c>
    </row>
    <row r="2419" spans="1:4" ht="28.5">
      <c r="A2419" s="78" t="s">
        <v>2547</v>
      </c>
      <c r="B2419" s="76">
        <v>63722</v>
      </c>
      <c r="C2419" s="81">
        <v>0</v>
      </c>
      <c r="D2419" s="82">
        <v>0</v>
      </c>
    </row>
    <row r="2420" spans="1:4">
      <c r="A2420" s="78" t="s">
        <v>2548</v>
      </c>
      <c r="B2420" s="76">
        <v>63727</v>
      </c>
      <c r="C2420" s="81">
        <v>0</v>
      </c>
      <c r="D2420" s="82">
        <v>0</v>
      </c>
    </row>
    <row r="2421" spans="1:4" ht="42.75">
      <c r="A2421" s="78" t="s">
        <v>2549</v>
      </c>
      <c r="B2421" s="76">
        <v>63728</v>
      </c>
      <c r="C2421" s="81">
        <v>0</v>
      </c>
      <c r="D2421" s="82">
        <v>0</v>
      </c>
    </row>
    <row r="2422" spans="1:4" ht="28.5">
      <c r="A2422" s="78" t="s">
        <v>2550</v>
      </c>
      <c r="B2422" s="76">
        <v>63731</v>
      </c>
      <c r="C2422" s="81">
        <v>0</v>
      </c>
      <c r="D2422" s="82">
        <v>0</v>
      </c>
    </row>
    <row r="2423" spans="1:4" ht="28.5">
      <c r="A2423" s="78" t="s">
        <v>2551</v>
      </c>
      <c r="B2423" s="76">
        <v>63753</v>
      </c>
      <c r="C2423" s="81">
        <v>0</v>
      </c>
      <c r="D2423" s="82">
        <v>0</v>
      </c>
    </row>
    <row r="2424" spans="1:4">
      <c r="A2424" s="78" t="s">
        <v>2552</v>
      </c>
      <c r="B2424" s="76">
        <v>63758</v>
      </c>
      <c r="C2424" s="81">
        <v>0</v>
      </c>
      <c r="D2424" s="82">
        <v>0</v>
      </c>
    </row>
    <row r="2425" spans="1:4">
      <c r="A2425" s="78" t="s">
        <v>2553</v>
      </c>
      <c r="B2425" s="76">
        <v>63761</v>
      </c>
      <c r="C2425" s="81">
        <v>0</v>
      </c>
      <c r="D2425" s="82">
        <v>0</v>
      </c>
    </row>
    <row r="2426" spans="1:4" ht="28.5">
      <c r="A2426" s="78" t="s">
        <v>2554</v>
      </c>
      <c r="B2426" s="76">
        <v>63762</v>
      </c>
      <c r="C2426" s="81">
        <v>0</v>
      </c>
      <c r="D2426" s="82">
        <v>0</v>
      </c>
    </row>
    <row r="2427" spans="1:4">
      <c r="A2427" s="78" t="s">
        <v>2555</v>
      </c>
      <c r="B2427" s="76">
        <v>63770</v>
      </c>
      <c r="C2427" s="81">
        <v>0</v>
      </c>
      <c r="D2427" s="82">
        <v>0</v>
      </c>
    </row>
    <row r="2428" spans="1:4" ht="42.75">
      <c r="A2428" s="78" t="s">
        <v>2556</v>
      </c>
      <c r="B2428" s="76">
        <v>63776</v>
      </c>
      <c r="C2428" s="81">
        <v>0</v>
      </c>
      <c r="D2428" s="82">
        <v>0</v>
      </c>
    </row>
    <row r="2429" spans="1:4">
      <c r="A2429" s="78" t="s">
        <v>2557</v>
      </c>
      <c r="B2429" s="76">
        <v>63778</v>
      </c>
      <c r="C2429" s="81">
        <v>0</v>
      </c>
      <c r="D2429" s="82">
        <v>0</v>
      </c>
    </row>
    <row r="2430" spans="1:4" ht="28.5">
      <c r="A2430" s="78" t="s">
        <v>2558</v>
      </c>
      <c r="B2430" s="76">
        <v>63779</v>
      </c>
      <c r="C2430" s="81">
        <v>0</v>
      </c>
      <c r="D2430" s="82">
        <v>0</v>
      </c>
    </row>
    <row r="2431" spans="1:4">
      <c r="A2431" s="78" t="s">
        <v>2559</v>
      </c>
      <c r="B2431" s="76">
        <v>63795</v>
      </c>
      <c r="C2431" s="81">
        <v>0</v>
      </c>
      <c r="D2431" s="82">
        <v>0</v>
      </c>
    </row>
    <row r="2432" spans="1:4" ht="28.5">
      <c r="A2432" s="78" t="s">
        <v>2560</v>
      </c>
      <c r="B2432" s="76">
        <v>63796</v>
      </c>
      <c r="C2432" s="81">
        <v>0</v>
      </c>
      <c r="D2432" s="82">
        <v>0</v>
      </c>
    </row>
    <row r="2433" spans="1:4" ht="28.5">
      <c r="A2433" s="78" t="s">
        <v>2561</v>
      </c>
      <c r="B2433" s="76">
        <v>63803</v>
      </c>
      <c r="C2433" s="81">
        <v>0</v>
      </c>
      <c r="D2433" s="82">
        <v>0</v>
      </c>
    </row>
    <row r="2434" spans="1:4">
      <c r="A2434" s="78" t="s">
        <v>2562</v>
      </c>
      <c r="B2434" s="76">
        <v>63848</v>
      </c>
      <c r="C2434" s="81">
        <v>0</v>
      </c>
      <c r="D2434" s="82">
        <v>0</v>
      </c>
    </row>
    <row r="2435" spans="1:4">
      <c r="A2435" s="78" t="s">
        <v>2563</v>
      </c>
      <c r="B2435" s="76">
        <v>63849</v>
      </c>
      <c r="C2435" s="81">
        <v>0</v>
      </c>
      <c r="D2435" s="82">
        <v>0</v>
      </c>
    </row>
    <row r="2436" spans="1:4" ht="28.5">
      <c r="A2436" s="78" t="s">
        <v>2564</v>
      </c>
      <c r="B2436" s="76">
        <v>63859</v>
      </c>
      <c r="C2436" s="81">
        <v>0</v>
      </c>
      <c r="D2436" s="82">
        <v>0</v>
      </c>
    </row>
    <row r="2437" spans="1:4" ht="28.5">
      <c r="A2437" s="78" t="s">
        <v>2565</v>
      </c>
      <c r="B2437" s="76">
        <v>63860</v>
      </c>
      <c r="C2437" s="81">
        <v>0</v>
      </c>
      <c r="D2437" s="82">
        <v>0</v>
      </c>
    </row>
    <row r="2438" spans="1:4">
      <c r="A2438" s="78" t="s">
        <v>2566</v>
      </c>
      <c r="B2438" s="76">
        <v>63869</v>
      </c>
      <c r="C2438" s="81">
        <v>0</v>
      </c>
      <c r="D2438" s="82">
        <v>0</v>
      </c>
    </row>
    <row r="2439" spans="1:4" ht="28.5">
      <c r="A2439" s="78" t="s">
        <v>2567</v>
      </c>
      <c r="B2439" s="76">
        <v>63870</v>
      </c>
      <c r="C2439" s="81">
        <v>0</v>
      </c>
      <c r="D2439" s="82">
        <v>0</v>
      </c>
    </row>
    <row r="2440" spans="1:4">
      <c r="A2440" s="78" t="s">
        <v>2568</v>
      </c>
      <c r="B2440" s="76">
        <v>63875</v>
      </c>
      <c r="C2440" s="81">
        <v>0</v>
      </c>
      <c r="D2440" s="82">
        <v>0</v>
      </c>
    </row>
    <row r="2441" spans="1:4" ht="28.5">
      <c r="A2441" s="78" t="s">
        <v>2569</v>
      </c>
      <c r="B2441" s="76">
        <v>63906</v>
      </c>
      <c r="C2441" s="81">
        <v>0</v>
      </c>
      <c r="D2441" s="82">
        <v>0</v>
      </c>
    </row>
    <row r="2442" spans="1:4">
      <c r="A2442" s="78" t="s">
        <v>2570</v>
      </c>
      <c r="B2442" s="76">
        <v>63908</v>
      </c>
      <c r="C2442" s="81">
        <v>0</v>
      </c>
      <c r="D2442" s="82">
        <v>0</v>
      </c>
    </row>
    <row r="2443" spans="1:4">
      <c r="A2443" s="78" t="s">
        <v>2571</v>
      </c>
      <c r="B2443" s="76">
        <v>63913</v>
      </c>
      <c r="C2443" s="81">
        <v>0</v>
      </c>
      <c r="D2443" s="82">
        <v>0</v>
      </c>
    </row>
    <row r="2444" spans="1:4">
      <c r="A2444" s="78" t="s">
        <v>2572</v>
      </c>
      <c r="B2444" s="76">
        <v>63914</v>
      </c>
      <c r="C2444" s="81">
        <v>0</v>
      </c>
      <c r="D2444" s="82">
        <v>0</v>
      </c>
    </row>
    <row r="2445" spans="1:4">
      <c r="A2445" s="78" t="s">
        <v>2573</v>
      </c>
      <c r="B2445" s="76">
        <v>63915</v>
      </c>
      <c r="C2445" s="81">
        <v>0</v>
      </c>
      <c r="D2445" s="82">
        <v>0</v>
      </c>
    </row>
    <row r="2446" spans="1:4">
      <c r="A2446" s="78" t="s">
        <v>2574</v>
      </c>
      <c r="B2446" s="76">
        <v>63916</v>
      </c>
      <c r="C2446" s="81">
        <v>0</v>
      </c>
      <c r="D2446" s="82">
        <v>0</v>
      </c>
    </row>
    <row r="2447" spans="1:4">
      <c r="A2447" s="78" t="s">
        <v>2575</v>
      </c>
      <c r="B2447" s="76">
        <v>63925</v>
      </c>
      <c r="C2447" s="81">
        <v>0</v>
      </c>
      <c r="D2447" s="82">
        <v>0</v>
      </c>
    </row>
    <row r="2448" spans="1:4">
      <c r="A2448" s="78" t="s">
        <v>2576</v>
      </c>
      <c r="B2448" s="76">
        <v>63926</v>
      </c>
      <c r="C2448" s="81">
        <v>0</v>
      </c>
      <c r="D2448" s="82">
        <v>0</v>
      </c>
    </row>
    <row r="2449" spans="1:4">
      <c r="A2449" s="78" t="s">
        <v>2577</v>
      </c>
      <c r="B2449" s="76">
        <v>63928</v>
      </c>
      <c r="C2449" s="81">
        <v>0</v>
      </c>
      <c r="D2449" s="82">
        <v>0</v>
      </c>
    </row>
    <row r="2450" spans="1:4">
      <c r="A2450" s="78" t="s">
        <v>2578</v>
      </c>
      <c r="B2450" s="76">
        <v>63932</v>
      </c>
      <c r="C2450" s="81">
        <v>0</v>
      </c>
      <c r="D2450" s="82">
        <v>0</v>
      </c>
    </row>
    <row r="2451" spans="1:4" ht="28.5">
      <c r="A2451" s="78" t="s">
        <v>2579</v>
      </c>
      <c r="B2451" s="76">
        <v>63933</v>
      </c>
      <c r="C2451" s="81">
        <v>0</v>
      </c>
      <c r="D2451" s="82">
        <v>0</v>
      </c>
    </row>
    <row r="2452" spans="1:4">
      <c r="A2452" s="78" t="s">
        <v>2580</v>
      </c>
      <c r="B2452" s="76">
        <v>63940</v>
      </c>
      <c r="C2452" s="81">
        <v>0</v>
      </c>
      <c r="D2452" s="82">
        <v>0</v>
      </c>
    </row>
    <row r="2453" spans="1:4">
      <c r="A2453" s="78" t="s">
        <v>2581</v>
      </c>
      <c r="B2453" s="76">
        <v>63941</v>
      </c>
      <c r="C2453" s="81">
        <v>0</v>
      </c>
      <c r="D2453" s="82">
        <v>0</v>
      </c>
    </row>
    <row r="2454" spans="1:4" ht="28.5">
      <c r="A2454" s="78" t="s">
        <v>2582</v>
      </c>
      <c r="B2454" s="76">
        <v>63947</v>
      </c>
      <c r="C2454" s="81">
        <v>0</v>
      </c>
      <c r="D2454" s="82">
        <v>0</v>
      </c>
    </row>
    <row r="2455" spans="1:4" ht="28.5">
      <c r="A2455" s="78" t="s">
        <v>2583</v>
      </c>
      <c r="B2455" s="76">
        <v>63956</v>
      </c>
      <c r="C2455" s="81">
        <v>0</v>
      </c>
      <c r="D2455" s="82">
        <v>0</v>
      </c>
    </row>
    <row r="2456" spans="1:4" ht="28.5">
      <c r="A2456" s="78" t="s">
        <v>2584</v>
      </c>
      <c r="B2456" s="76">
        <v>63957</v>
      </c>
      <c r="C2456" s="81">
        <v>0</v>
      </c>
      <c r="D2456" s="82">
        <v>0</v>
      </c>
    </row>
    <row r="2457" spans="1:4" ht="28.5">
      <c r="A2457" s="78" t="s">
        <v>2585</v>
      </c>
      <c r="B2457" s="76">
        <v>63958</v>
      </c>
      <c r="C2457" s="81">
        <v>0</v>
      </c>
      <c r="D2457" s="82">
        <v>0</v>
      </c>
    </row>
    <row r="2458" spans="1:4" ht="28.5">
      <c r="A2458" s="78" t="s">
        <v>2586</v>
      </c>
      <c r="B2458" s="76">
        <v>63959</v>
      </c>
      <c r="C2458" s="81">
        <v>0</v>
      </c>
      <c r="D2458" s="82">
        <v>0</v>
      </c>
    </row>
    <row r="2459" spans="1:4" ht="28.5">
      <c r="A2459" s="78" t="s">
        <v>2587</v>
      </c>
      <c r="B2459" s="76">
        <v>63960</v>
      </c>
      <c r="C2459" s="81">
        <v>0</v>
      </c>
      <c r="D2459" s="82">
        <v>0</v>
      </c>
    </row>
    <row r="2460" spans="1:4" ht="28.5">
      <c r="A2460" s="78" t="s">
        <v>2588</v>
      </c>
      <c r="B2460" s="76">
        <v>63961</v>
      </c>
      <c r="C2460" s="81">
        <v>0</v>
      </c>
      <c r="D2460" s="82">
        <v>0</v>
      </c>
    </row>
    <row r="2461" spans="1:4" ht="28.5">
      <c r="A2461" s="78" t="s">
        <v>2589</v>
      </c>
      <c r="B2461" s="76">
        <v>63962</v>
      </c>
      <c r="C2461" s="81">
        <v>0</v>
      </c>
      <c r="D2461" s="82">
        <v>0</v>
      </c>
    </row>
    <row r="2462" spans="1:4" ht="28.5">
      <c r="A2462" s="78" t="s">
        <v>2590</v>
      </c>
      <c r="B2462" s="76">
        <v>63963</v>
      </c>
      <c r="C2462" s="81">
        <v>0</v>
      </c>
      <c r="D2462" s="82">
        <v>0</v>
      </c>
    </row>
    <row r="2463" spans="1:4" ht="28.5">
      <c r="A2463" s="78" t="s">
        <v>2591</v>
      </c>
      <c r="B2463" s="76">
        <v>63964</v>
      </c>
      <c r="C2463" s="81">
        <v>0</v>
      </c>
      <c r="D2463" s="82">
        <v>0</v>
      </c>
    </row>
    <row r="2464" spans="1:4">
      <c r="A2464" s="78" t="s">
        <v>2592</v>
      </c>
      <c r="B2464" s="76">
        <v>63969</v>
      </c>
      <c r="C2464" s="81">
        <v>0</v>
      </c>
      <c r="D2464" s="82">
        <v>0</v>
      </c>
    </row>
    <row r="2465" spans="1:4">
      <c r="A2465" s="78" t="s">
        <v>2593</v>
      </c>
      <c r="B2465" s="76">
        <v>63983</v>
      </c>
      <c r="C2465" s="81">
        <v>0</v>
      </c>
      <c r="D2465" s="82">
        <v>0</v>
      </c>
    </row>
    <row r="2466" spans="1:4" ht="28.5">
      <c r="A2466" s="78" t="s">
        <v>2594</v>
      </c>
      <c r="B2466" s="76">
        <v>63984</v>
      </c>
      <c r="C2466" s="81">
        <v>0</v>
      </c>
      <c r="D2466" s="82">
        <v>0</v>
      </c>
    </row>
    <row r="2467" spans="1:4">
      <c r="A2467" s="78" t="s">
        <v>2595</v>
      </c>
      <c r="B2467" s="76">
        <v>63993</v>
      </c>
      <c r="C2467" s="81">
        <v>0</v>
      </c>
      <c r="D2467" s="82">
        <v>0</v>
      </c>
    </row>
    <row r="2468" spans="1:4" ht="28.5">
      <c r="A2468" s="78" t="s">
        <v>2596</v>
      </c>
      <c r="B2468" s="76">
        <v>63994</v>
      </c>
      <c r="C2468" s="81">
        <v>0</v>
      </c>
      <c r="D2468" s="82">
        <v>0</v>
      </c>
    </row>
    <row r="2469" spans="1:4">
      <c r="A2469" s="78" t="s">
        <v>2597</v>
      </c>
      <c r="B2469" s="76">
        <v>64006</v>
      </c>
      <c r="C2469" s="81">
        <v>0</v>
      </c>
      <c r="D2469" s="82">
        <v>0</v>
      </c>
    </row>
    <row r="2470" spans="1:4">
      <c r="A2470" s="78" t="s">
        <v>2598</v>
      </c>
      <c r="B2470" s="76">
        <v>64007</v>
      </c>
      <c r="C2470" s="81">
        <v>0</v>
      </c>
      <c r="D2470" s="82">
        <v>0</v>
      </c>
    </row>
    <row r="2471" spans="1:4">
      <c r="A2471" s="78" t="s">
        <v>2599</v>
      </c>
      <c r="B2471" s="76">
        <v>64008</v>
      </c>
      <c r="C2471" s="81">
        <v>0</v>
      </c>
      <c r="D2471" s="82">
        <v>0</v>
      </c>
    </row>
    <row r="2472" spans="1:4">
      <c r="A2472" s="78" t="s">
        <v>2600</v>
      </c>
      <c r="B2472" s="76">
        <v>64009</v>
      </c>
      <c r="C2472" s="81">
        <v>0</v>
      </c>
      <c r="D2472" s="82">
        <v>0</v>
      </c>
    </row>
    <row r="2473" spans="1:4" ht="28.5">
      <c r="A2473" s="78" t="s">
        <v>2601</v>
      </c>
      <c r="B2473" s="76">
        <v>64021</v>
      </c>
      <c r="C2473" s="81">
        <v>0</v>
      </c>
      <c r="D2473" s="82">
        <v>0</v>
      </c>
    </row>
    <row r="2474" spans="1:4">
      <c r="A2474" s="78" t="s">
        <v>2602</v>
      </c>
      <c r="B2474" s="76">
        <v>64022</v>
      </c>
      <c r="C2474" s="81">
        <v>0</v>
      </c>
      <c r="D2474" s="82">
        <v>0</v>
      </c>
    </row>
    <row r="2475" spans="1:4" ht="28.5">
      <c r="A2475" s="78" t="s">
        <v>2603</v>
      </c>
      <c r="B2475" s="76">
        <v>64024</v>
      </c>
      <c r="C2475" s="81">
        <v>0</v>
      </c>
      <c r="D2475" s="82">
        <v>0</v>
      </c>
    </row>
    <row r="2476" spans="1:4" ht="42.75">
      <c r="A2476" s="78" t="s">
        <v>2604</v>
      </c>
      <c r="B2476" s="76">
        <v>64028</v>
      </c>
      <c r="C2476" s="81">
        <v>0</v>
      </c>
      <c r="D2476" s="82">
        <v>0</v>
      </c>
    </row>
    <row r="2477" spans="1:4" ht="28.5">
      <c r="A2477" s="78" t="s">
        <v>2605</v>
      </c>
      <c r="B2477" s="76">
        <v>64031</v>
      </c>
      <c r="C2477" s="81">
        <v>0</v>
      </c>
      <c r="D2477" s="82">
        <v>0</v>
      </c>
    </row>
    <row r="2478" spans="1:4">
      <c r="A2478" s="78" t="s">
        <v>2606</v>
      </c>
      <c r="B2478" s="76">
        <v>64032</v>
      </c>
      <c r="C2478" s="81">
        <v>0</v>
      </c>
      <c r="D2478" s="82">
        <v>0</v>
      </c>
    </row>
    <row r="2479" spans="1:4">
      <c r="A2479" s="78" t="s">
        <v>2607</v>
      </c>
      <c r="B2479" s="76">
        <v>64033</v>
      </c>
      <c r="C2479" s="81">
        <v>0</v>
      </c>
      <c r="D2479" s="82">
        <v>0</v>
      </c>
    </row>
    <row r="2480" spans="1:4">
      <c r="A2480" s="78" t="s">
        <v>2608</v>
      </c>
      <c r="B2480" s="76">
        <v>64034</v>
      </c>
      <c r="C2480" s="81">
        <v>0</v>
      </c>
      <c r="D2480" s="82">
        <v>0</v>
      </c>
    </row>
    <row r="2481" spans="1:4">
      <c r="A2481" s="78" t="s">
        <v>2609</v>
      </c>
      <c r="B2481" s="76">
        <v>64048</v>
      </c>
      <c r="C2481" s="81">
        <v>0</v>
      </c>
      <c r="D2481" s="82">
        <v>0</v>
      </c>
    </row>
    <row r="2482" spans="1:4" ht="28.5">
      <c r="A2482" s="78" t="s">
        <v>2610</v>
      </c>
      <c r="B2482" s="76">
        <v>64049</v>
      </c>
      <c r="C2482" s="81">
        <v>0</v>
      </c>
      <c r="D2482" s="82">
        <v>0</v>
      </c>
    </row>
    <row r="2483" spans="1:4" ht="28.5">
      <c r="A2483" s="78" t="s">
        <v>2611</v>
      </c>
      <c r="B2483" s="76">
        <v>64051</v>
      </c>
      <c r="C2483" s="81">
        <v>0</v>
      </c>
      <c r="D2483" s="82">
        <v>0</v>
      </c>
    </row>
    <row r="2484" spans="1:4" ht="28.5">
      <c r="A2484" s="78" t="s">
        <v>2612</v>
      </c>
      <c r="B2484" s="76">
        <v>64052</v>
      </c>
      <c r="C2484" s="81">
        <v>0</v>
      </c>
      <c r="D2484" s="82">
        <v>0</v>
      </c>
    </row>
    <row r="2485" spans="1:4" ht="28.5">
      <c r="A2485" s="78" t="s">
        <v>2613</v>
      </c>
      <c r="B2485" s="76">
        <v>64053</v>
      </c>
      <c r="C2485" s="81">
        <v>0</v>
      </c>
      <c r="D2485" s="82">
        <v>0</v>
      </c>
    </row>
    <row r="2486" spans="1:4" ht="42.75">
      <c r="A2486" s="78" t="s">
        <v>2614</v>
      </c>
      <c r="B2486" s="76">
        <v>64055</v>
      </c>
      <c r="C2486" s="81">
        <v>0</v>
      </c>
      <c r="D2486" s="82">
        <v>0</v>
      </c>
    </row>
    <row r="2487" spans="1:4">
      <c r="A2487" s="78" t="s">
        <v>2615</v>
      </c>
      <c r="B2487" s="76">
        <v>64057</v>
      </c>
      <c r="C2487" s="81">
        <v>0</v>
      </c>
      <c r="D2487" s="82">
        <v>0</v>
      </c>
    </row>
    <row r="2488" spans="1:4" ht="28.5">
      <c r="A2488" s="78" t="s">
        <v>2616</v>
      </c>
      <c r="B2488" s="76">
        <v>64076</v>
      </c>
      <c r="C2488" s="81">
        <v>0</v>
      </c>
      <c r="D2488" s="82">
        <v>0</v>
      </c>
    </row>
    <row r="2489" spans="1:4" ht="28.5">
      <c r="A2489" s="78" t="s">
        <v>2617</v>
      </c>
      <c r="B2489" s="76">
        <v>64098</v>
      </c>
      <c r="C2489" s="81">
        <v>0</v>
      </c>
      <c r="D2489" s="82">
        <v>0</v>
      </c>
    </row>
    <row r="2490" spans="1:4" ht="28.5">
      <c r="A2490" s="78" t="s">
        <v>2618</v>
      </c>
      <c r="B2490" s="76">
        <v>64103</v>
      </c>
      <c r="C2490" s="81">
        <v>0</v>
      </c>
      <c r="D2490" s="82">
        <v>0</v>
      </c>
    </row>
    <row r="2491" spans="1:4" ht="28.5">
      <c r="A2491" s="78" t="s">
        <v>2619</v>
      </c>
      <c r="B2491" s="76">
        <v>64104</v>
      </c>
      <c r="C2491" s="81">
        <v>0</v>
      </c>
      <c r="D2491" s="82">
        <v>0</v>
      </c>
    </row>
    <row r="2492" spans="1:4" ht="28.5">
      <c r="A2492" s="78" t="s">
        <v>2620</v>
      </c>
      <c r="B2492" s="76">
        <v>64105</v>
      </c>
      <c r="C2492" s="81">
        <v>0</v>
      </c>
      <c r="D2492" s="82">
        <v>0</v>
      </c>
    </row>
    <row r="2493" spans="1:4" ht="28.5">
      <c r="A2493" s="78" t="s">
        <v>2621</v>
      </c>
      <c r="B2493" s="76">
        <v>64106</v>
      </c>
      <c r="C2493" s="81">
        <v>0</v>
      </c>
      <c r="D2493" s="82">
        <v>0</v>
      </c>
    </row>
    <row r="2494" spans="1:4">
      <c r="A2494" s="78" t="s">
        <v>2622</v>
      </c>
      <c r="B2494" s="76">
        <v>64148</v>
      </c>
      <c r="C2494" s="81">
        <v>0</v>
      </c>
      <c r="D2494" s="82">
        <v>0</v>
      </c>
    </row>
    <row r="2495" spans="1:4">
      <c r="A2495" s="78" t="s">
        <v>2623</v>
      </c>
      <c r="B2495" s="76">
        <v>64152</v>
      </c>
      <c r="C2495" s="81">
        <v>0</v>
      </c>
      <c r="D2495" s="82">
        <v>0</v>
      </c>
    </row>
    <row r="2496" spans="1:4">
      <c r="A2496" s="78" t="s">
        <v>2624</v>
      </c>
      <c r="B2496" s="76">
        <v>64186</v>
      </c>
      <c r="C2496" s="81">
        <v>0</v>
      </c>
      <c r="D2496" s="82">
        <v>0</v>
      </c>
    </row>
    <row r="2497" spans="1:4">
      <c r="A2497" s="78" t="s">
        <v>2625</v>
      </c>
      <c r="B2497" s="76">
        <v>64189</v>
      </c>
      <c r="C2497" s="81">
        <v>0</v>
      </c>
      <c r="D2497" s="82">
        <v>0</v>
      </c>
    </row>
    <row r="2498" spans="1:4" ht="42.75">
      <c r="A2498" s="78" t="s">
        <v>2626</v>
      </c>
      <c r="B2498" s="76">
        <v>64197</v>
      </c>
      <c r="C2498" s="81">
        <v>0</v>
      </c>
      <c r="D2498" s="82">
        <v>0</v>
      </c>
    </row>
    <row r="2499" spans="1:4" ht="42.75">
      <c r="A2499" s="78" t="s">
        <v>2627</v>
      </c>
      <c r="B2499" s="76">
        <v>64198</v>
      </c>
      <c r="C2499" s="81">
        <v>0</v>
      </c>
      <c r="D2499" s="82">
        <v>0</v>
      </c>
    </row>
    <row r="2500" spans="1:4" ht="28.5">
      <c r="A2500" s="78" t="s">
        <v>2628</v>
      </c>
      <c r="B2500" s="76">
        <v>64200</v>
      </c>
      <c r="C2500" s="81">
        <v>0</v>
      </c>
      <c r="D2500" s="82">
        <v>0</v>
      </c>
    </row>
    <row r="2501" spans="1:4" ht="42.75">
      <c r="A2501" s="78" t="s">
        <v>2629</v>
      </c>
      <c r="B2501" s="76">
        <v>64220</v>
      </c>
      <c r="C2501" s="81">
        <v>0</v>
      </c>
      <c r="D2501" s="82">
        <v>0</v>
      </c>
    </row>
    <row r="2502" spans="1:4" ht="42.75">
      <c r="A2502" s="78" t="s">
        <v>2630</v>
      </c>
      <c r="B2502" s="76">
        <v>64221</v>
      </c>
      <c r="C2502" s="81">
        <v>0</v>
      </c>
      <c r="D2502" s="82">
        <v>0</v>
      </c>
    </row>
    <row r="2503" spans="1:4">
      <c r="A2503" s="78" t="s">
        <v>2631</v>
      </c>
      <c r="B2503" s="76">
        <v>64264</v>
      </c>
      <c r="C2503" s="81">
        <v>0</v>
      </c>
      <c r="D2503" s="82">
        <v>0</v>
      </c>
    </row>
    <row r="2504" spans="1:4" ht="28.5">
      <c r="A2504" s="78" t="s">
        <v>2632</v>
      </c>
      <c r="B2504" s="76">
        <v>64265</v>
      </c>
      <c r="C2504" s="81">
        <v>0</v>
      </c>
      <c r="D2504" s="82">
        <v>0</v>
      </c>
    </row>
    <row r="2505" spans="1:4" ht="28.5">
      <c r="A2505" s="78" t="s">
        <v>2633</v>
      </c>
      <c r="B2505" s="76">
        <v>64266</v>
      </c>
      <c r="C2505" s="81">
        <v>0</v>
      </c>
      <c r="D2505" s="82">
        <v>0</v>
      </c>
    </row>
    <row r="2506" spans="1:4">
      <c r="A2506" s="78" t="s">
        <v>2634</v>
      </c>
      <c r="B2506" s="76">
        <v>64267</v>
      </c>
      <c r="C2506" s="81">
        <v>0</v>
      </c>
      <c r="D2506" s="82">
        <v>0</v>
      </c>
    </row>
    <row r="2507" spans="1:4" ht="28.5">
      <c r="A2507" s="78" t="s">
        <v>2635</v>
      </c>
      <c r="B2507" s="76">
        <v>64270</v>
      </c>
      <c r="C2507" s="81">
        <v>0</v>
      </c>
      <c r="D2507" s="82">
        <v>0</v>
      </c>
    </row>
    <row r="2508" spans="1:4">
      <c r="A2508" s="78" t="s">
        <v>2636</v>
      </c>
      <c r="B2508" s="76">
        <v>64290</v>
      </c>
      <c r="C2508" s="81">
        <v>0</v>
      </c>
      <c r="D2508" s="82">
        <v>0</v>
      </c>
    </row>
    <row r="2509" spans="1:4" ht="42.75">
      <c r="A2509" s="78" t="s">
        <v>2637</v>
      </c>
      <c r="B2509" s="76">
        <v>64308</v>
      </c>
      <c r="C2509" s="81">
        <v>0</v>
      </c>
      <c r="D2509" s="82">
        <v>0</v>
      </c>
    </row>
    <row r="2510" spans="1:4" ht="28.5">
      <c r="A2510" s="78" t="s">
        <v>2638</v>
      </c>
      <c r="B2510" s="76">
        <v>64323</v>
      </c>
      <c r="C2510" s="81">
        <v>0</v>
      </c>
      <c r="D2510" s="82">
        <v>0</v>
      </c>
    </row>
    <row r="2511" spans="1:4">
      <c r="A2511" s="78" t="s">
        <v>2639</v>
      </c>
      <c r="B2511" s="76">
        <v>64326</v>
      </c>
      <c r="C2511" s="81">
        <v>0</v>
      </c>
      <c r="D2511" s="82">
        <v>0</v>
      </c>
    </row>
    <row r="2512" spans="1:4" ht="28.5">
      <c r="A2512" s="78" t="s">
        <v>2640</v>
      </c>
      <c r="B2512" s="76">
        <v>64352</v>
      </c>
      <c r="C2512" s="81">
        <v>0</v>
      </c>
      <c r="D2512" s="82">
        <v>0</v>
      </c>
    </row>
    <row r="2513" spans="1:4" ht="42.75">
      <c r="A2513" s="78" t="s">
        <v>2641</v>
      </c>
      <c r="B2513" s="76">
        <v>64353</v>
      </c>
      <c r="C2513" s="81">
        <v>0</v>
      </c>
      <c r="D2513" s="82">
        <v>0</v>
      </c>
    </row>
    <row r="2514" spans="1:4" ht="28.5">
      <c r="A2514" s="78" t="s">
        <v>2642</v>
      </c>
      <c r="B2514" s="76">
        <v>64355</v>
      </c>
      <c r="C2514" s="81">
        <v>0</v>
      </c>
      <c r="D2514" s="82">
        <v>0</v>
      </c>
    </row>
    <row r="2515" spans="1:4" ht="42.75">
      <c r="A2515" s="78" t="s">
        <v>2643</v>
      </c>
      <c r="B2515" s="76">
        <v>64356</v>
      </c>
      <c r="C2515" s="81">
        <v>0</v>
      </c>
      <c r="D2515" s="82">
        <v>0</v>
      </c>
    </row>
    <row r="2516" spans="1:4" ht="42.75">
      <c r="A2516" s="78" t="s">
        <v>2644</v>
      </c>
      <c r="B2516" s="76">
        <v>64357</v>
      </c>
      <c r="C2516" s="81">
        <v>0</v>
      </c>
      <c r="D2516" s="82">
        <v>0</v>
      </c>
    </row>
    <row r="2517" spans="1:4" ht="42.75">
      <c r="A2517" s="78" t="s">
        <v>2645</v>
      </c>
      <c r="B2517" s="76">
        <v>64358</v>
      </c>
      <c r="C2517" s="81">
        <v>0</v>
      </c>
      <c r="D2517" s="82">
        <v>0</v>
      </c>
    </row>
    <row r="2518" spans="1:4" ht="28.5">
      <c r="A2518" s="78" t="s">
        <v>2646</v>
      </c>
      <c r="B2518" s="76">
        <v>64359</v>
      </c>
      <c r="C2518" s="81">
        <v>0</v>
      </c>
      <c r="D2518" s="82">
        <v>0</v>
      </c>
    </row>
    <row r="2519" spans="1:4">
      <c r="A2519" s="78" t="s">
        <v>2647</v>
      </c>
      <c r="B2519" s="76">
        <v>64376</v>
      </c>
      <c r="C2519" s="81">
        <v>0</v>
      </c>
      <c r="D2519" s="82">
        <v>0</v>
      </c>
    </row>
    <row r="2520" spans="1:4">
      <c r="A2520" s="78" t="s">
        <v>2648</v>
      </c>
      <c r="B2520" s="76">
        <v>64384</v>
      </c>
      <c r="C2520" s="81">
        <v>0</v>
      </c>
      <c r="D2520" s="82">
        <v>0</v>
      </c>
    </row>
    <row r="2521" spans="1:4">
      <c r="A2521" s="78" t="s">
        <v>2649</v>
      </c>
      <c r="B2521" s="76">
        <v>64386</v>
      </c>
      <c r="C2521" s="81">
        <v>0</v>
      </c>
      <c r="D2521" s="82">
        <v>0</v>
      </c>
    </row>
    <row r="2522" spans="1:4" ht="28.5">
      <c r="A2522" s="78" t="s">
        <v>2650</v>
      </c>
      <c r="B2522" s="76">
        <v>64388</v>
      </c>
      <c r="C2522" s="81">
        <v>0</v>
      </c>
      <c r="D2522" s="82">
        <v>0</v>
      </c>
    </row>
    <row r="2523" spans="1:4" ht="28.5">
      <c r="A2523" s="78" t="s">
        <v>2651</v>
      </c>
      <c r="B2523" s="76">
        <v>64391</v>
      </c>
      <c r="C2523" s="81">
        <v>0</v>
      </c>
      <c r="D2523" s="82">
        <v>0</v>
      </c>
    </row>
    <row r="2524" spans="1:4" ht="28.5">
      <c r="A2524" s="78" t="s">
        <v>2652</v>
      </c>
      <c r="B2524" s="76">
        <v>64396</v>
      </c>
      <c r="C2524" s="81">
        <v>0</v>
      </c>
      <c r="D2524" s="82">
        <v>0</v>
      </c>
    </row>
    <row r="2525" spans="1:4" ht="42.75">
      <c r="A2525" s="78" t="s">
        <v>2653</v>
      </c>
      <c r="B2525" s="76">
        <v>64397</v>
      </c>
      <c r="C2525" s="81">
        <v>0</v>
      </c>
      <c r="D2525" s="82">
        <v>0</v>
      </c>
    </row>
    <row r="2526" spans="1:4" ht="28.5">
      <c r="A2526" s="78" t="s">
        <v>2654</v>
      </c>
      <c r="B2526" s="76">
        <v>64398</v>
      </c>
      <c r="C2526" s="81">
        <v>0</v>
      </c>
      <c r="D2526" s="82">
        <v>0</v>
      </c>
    </row>
    <row r="2527" spans="1:4" ht="28.5">
      <c r="A2527" s="78" t="s">
        <v>2655</v>
      </c>
      <c r="B2527" s="76">
        <v>64399</v>
      </c>
      <c r="C2527" s="81">
        <v>0</v>
      </c>
      <c r="D2527" s="82">
        <v>0</v>
      </c>
    </row>
    <row r="2528" spans="1:4" ht="28.5">
      <c r="A2528" s="78" t="s">
        <v>2656</v>
      </c>
      <c r="B2528" s="76">
        <v>64401</v>
      </c>
      <c r="C2528" s="81">
        <v>0</v>
      </c>
      <c r="D2528" s="82">
        <v>0</v>
      </c>
    </row>
    <row r="2529" spans="1:4">
      <c r="A2529" s="78" t="s">
        <v>2657</v>
      </c>
      <c r="B2529" s="76">
        <v>64402</v>
      </c>
      <c r="C2529" s="81">
        <v>0</v>
      </c>
      <c r="D2529" s="82">
        <v>0</v>
      </c>
    </row>
    <row r="2530" spans="1:4" ht="42.75">
      <c r="A2530" s="78" t="s">
        <v>2658</v>
      </c>
      <c r="B2530" s="76">
        <v>64403</v>
      </c>
      <c r="C2530" s="81">
        <v>0</v>
      </c>
      <c r="D2530" s="82">
        <v>0</v>
      </c>
    </row>
    <row r="2531" spans="1:4">
      <c r="A2531" s="78" t="s">
        <v>2659</v>
      </c>
      <c r="B2531" s="76">
        <v>64404</v>
      </c>
      <c r="C2531" s="81">
        <v>0</v>
      </c>
      <c r="D2531" s="82">
        <v>0</v>
      </c>
    </row>
    <row r="2532" spans="1:4" ht="28.5">
      <c r="A2532" s="78" t="s">
        <v>2660</v>
      </c>
      <c r="B2532" s="76">
        <v>64406</v>
      </c>
      <c r="C2532" s="81">
        <v>0</v>
      </c>
      <c r="D2532" s="82">
        <v>0</v>
      </c>
    </row>
    <row r="2533" spans="1:4">
      <c r="A2533" s="78" t="s">
        <v>2661</v>
      </c>
      <c r="B2533" s="76">
        <v>64418</v>
      </c>
      <c r="C2533" s="81">
        <v>0</v>
      </c>
      <c r="D2533" s="82">
        <v>0</v>
      </c>
    </row>
    <row r="2534" spans="1:4" ht="28.5">
      <c r="A2534" s="78" t="s">
        <v>2662</v>
      </c>
      <c r="B2534" s="76">
        <v>64426</v>
      </c>
      <c r="C2534" s="81">
        <v>0</v>
      </c>
      <c r="D2534" s="82">
        <v>0</v>
      </c>
    </row>
    <row r="2535" spans="1:4" ht="28.5">
      <c r="A2535" s="78" t="s">
        <v>2663</v>
      </c>
      <c r="B2535" s="76">
        <v>64427</v>
      </c>
      <c r="C2535" s="81">
        <v>0</v>
      </c>
      <c r="D2535" s="82">
        <v>0</v>
      </c>
    </row>
    <row r="2536" spans="1:4" ht="42.75">
      <c r="A2536" s="78" t="s">
        <v>2664</v>
      </c>
      <c r="B2536" s="76">
        <v>64429</v>
      </c>
      <c r="C2536" s="81">
        <v>0</v>
      </c>
      <c r="D2536" s="82">
        <v>0</v>
      </c>
    </row>
    <row r="2537" spans="1:4" ht="28.5">
      <c r="A2537" s="78" t="s">
        <v>2665</v>
      </c>
      <c r="B2537" s="76">
        <v>64438</v>
      </c>
      <c r="C2537" s="81">
        <v>0</v>
      </c>
      <c r="D2537" s="82">
        <v>0</v>
      </c>
    </row>
    <row r="2538" spans="1:4">
      <c r="A2538" s="78" t="s">
        <v>2666</v>
      </c>
      <c r="B2538" s="76">
        <v>64441</v>
      </c>
      <c r="C2538" s="81">
        <v>0</v>
      </c>
      <c r="D2538" s="82">
        <v>0</v>
      </c>
    </row>
    <row r="2539" spans="1:4">
      <c r="A2539" s="78" t="s">
        <v>2667</v>
      </c>
      <c r="B2539" s="76">
        <v>64446</v>
      </c>
      <c r="C2539" s="81">
        <v>0</v>
      </c>
      <c r="D2539" s="82">
        <v>0</v>
      </c>
    </row>
    <row r="2540" spans="1:4" ht="28.5">
      <c r="A2540" s="78" t="s">
        <v>2668</v>
      </c>
      <c r="B2540" s="76">
        <v>64471</v>
      </c>
      <c r="C2540" s="81">
        <v>0</v>
      </c>
      <c r="D2540" s="82">
        <v>0</v>
      </c>
    </row>
    <row r="2541" spans="1:4" ht="28.5">
      <c r="A2541" s="78" t="s">
        <v>2669</v>
      </c>
      <c r="B2541" s="76">
        <v>64481</v>
      </c>
      <c r="C2541" s="81">
        <v>0</v>
      </c>
      <c r="D2541" s="82">
        <v>0</v>
      </c>
    </row>
    <row r="2542" spans="1:4">
      <c r="A2542" s="78" t="s">
        <v>2670</v>
      </c>
      <c r="B2542" s="76">
        <v>64489</v>
      </c>
      <c r="C2542" s="81">
        <v>0</v>
      </c>
      <c r="D2542" s="82">
        <v>0</v>
      </c>
    </row>
    <row r="2543" spans="1:4" ht="28.5">
      <c r="A2543" s="78" t="s">
        <v>2671</v>
      </c>
      <c r="B2543" s="76">
        <v>64517</v>
      </c>
      <c r="C2543" s="81">
        <v>0</v>
      </c>
      <c r="D2543" s="82">
        <v>0</v>
      </c>
    </row>
    <row r="2544" spans="1:4" ht="28.5">
      <c r="A2544" s="78" t="s">
        <v>2672</v>
      </c>
      <c r="B2544" s="76">
        <v>64518</v>
      </c>
      <c r="C2544" s="81">
        <v>0</v>
      </c>
      <c r="D2544" s="82">
        <v>0</v>
      </c>
    </row>
    <row r="2545" spans="1:4" ht="28.5">
      <c r="A2545" s="78" t="s">
        <v>2673</v>
      </c>
      <c r="B2545" s="76">
        <v>64519</v>
      </c>
      <c r="C2545" s="81">
        <v>0</v>
      </c>
      <c r="D2545" s="82">
        <v>0</v>
      </c>
    </row>
    <row r="2546" spans="1:4" ht="28.5">
      <c r="A2546" s="78" t="s">
        <v>2674</v>
      </c>
      <c r="B2546" s="76">
        <v>64521</v>
      </c>
      <c r="C2546" s="81">
        <v>0</v>
      </c>
      <c r="D2546" s="82">
        <v>0</v>
      </c>
    </row>
    <row r="2547" spans="1:4" ht="28.5">
      <c r="A2547" s="78" t="s">
        <v>2675</v>
      </c>
      <c r="B2547" s="76">
        <v>64523</v>
      </c>
      <c r="C2547" s="81">
        <v>0</v>
      </c>
      <c r="D2547" s="82">
        <v>0</v>
      </c>
    </row>
    <row r="2548" spans="1:4">
      <c r="A2548" s="78" t="s">
        <v>2676</v>
      </c>
      <c r="B2548" s="76">
        <v>64524</v>
      </c>
      <c r="C2548" s="81">
        <v>0</v>
      </c>
      <c r="D2548" s="82">
        <v>0</v>
      </c>
    </row>
    <row r="2549" spans="1:4" ht="28.5">
      <c r="A2549" s="78" t="s">
        <v>2677</v>
      </c>
      <c r="B2549" s="76">
        <v>64564</v>
      </c>
      <c r="C2549" s="81">
        <v>0</v>
      </c>
      <c r="D2549" s="82">
        <v>0</v>
      </c>
    </row>
    <row r="2550" spans="1:4" ht="28.5">
      <c r="A2550" s="78" t="s">
        <v>2678</v>
      </c>
      <c r="B2550" s="76">
        <v>64566</v>
      </c>
      <c r="C2550" s="81">
        <v>0</v>
      </c>
      <c r="D2550" s="82">
        <v>0</v>
      </c>
    </row>
    <row r="2551" spans="1:4" ht="28.5">
      <c r="A2551" s="78" t="s">
        <v>2679</v>
      </c>
      <c r="B2551" s="76">
        <v>64579</v>
      </c>
      <c r="C2551" s="81">
        <v>0</v>
      </c>
      <c r="D2551" s="82">
        <v>0</v>
      </c>
    </row>
    <row r="2552" spans="1:4" ht="28.5">
      <c r="A2552" s="78" t="s">
        <v>2680</v>
      </c>
      <c r="B2552" s="76">
        <v>64580</v>
      </c>
      <c r="C2552" s="81">
        <v>0</v>
      </c>
      <c r="D2552" s="82">
        <v>0</v>
      </c>
    </row>
    <row r="2553" spans="1:4">
      <c r="A2553" s="78" t="s">
        <v>2681</v>
      </c>
      <c r="B2553" s="76">
        <v>64600</v>
      </c>
      <c r="C2553" s="81">
        <v>0</v>
      </c>
      <c r="D2553" s="82">
        <v>0</v>
      </c>
    </row>
    <row r="2554" spans="1:4" ht="28.5">
      <c r="A2554" s="78" t="s">
        <v>2682</v>
      </c>
      <c r="B2554" s="76">
        <v>64601</v>
      </c>
      <c r="C2554" s="81">
        <v>0</v>
      </c>
      <c r="D2554" s="82">
        <v>0</v>
      </c>
    </row>
    <row r="2555" spans="1:4">
      <c r="A2555" s="78" t="s">
        <v>2683</v>
      </c>
      <c r="B2555" s="76">
        <v>64607</v>
      </c>
      <c r="C2555" s="81">
        <v>0</v>
      </c>
      <c r="D2555" s="82">
        <v>0</v>
      </c>
    </row>
    <row r="2556" spans="1:4">
      <c r="A2556" s="78" t="s">
        <v>2684</v>
      </c>
      <c r="B2556" s="76">
        <v>64611</v>
      </c>
      <c r="C2556" s="81">
        <v>0</v>
      </c>
      <c r="D2556" s="82">
        <v>0</v>
      </c>
    </row>
    <row r="2557" spans="1:4" ht="28.5">
      <c r="A2557" s="78" t="s">
        <v>2685</v>
      </c>
      <c r="B2557" s="76">
        <v>64624</v>
      </c>
      <c r="C2557" s="81">
        <v>0</v>
      </c>
      <c r="D2557" s="82">
        <v>0</v>
      </c>
    </row>
    <row r="2558" spans="1:4" ht="28.5">
      <c r="A2558" s="78" t="s">
        <v>2686</v>
      </c>
      <c r="B2558" s="76">
        <v>64630</v>
      </c>
      <c r="C2558" s="81">
        <v>0</v>
      </c>
      <c r="D2558" s="82">
        <v>0</v>
      </c>
    </row>
    <row r="2559" spans="1:4" ht="28.5">
      <c r="A2559" s="78" t="s">
        <v>2687</v>
      </c>
      <c r="B2559" s="76">
        <v>64638</v>
      </c>
      <c r="C2559" s="81">
        <v>0</v>
      </c>
      <c r="D2559" s="82">
        <v>0</v>
      </c>
    </row>
    <row r="2560" spans="1:4" ht="28.5">
      <c r="A2560" s="78" t="s">
        <v>2688</v>
      </c>
      <c r="B2560" s="76">
        <v>64648</v>
      </c>
      <c r="C2560" s="81">
        <v>0</v>
      </c>
      <c r="D2560" s="82">
        <v>0</v>
      </c>
    </row>
    <row r="2561" spans="1:4" ht="28.5">
      <c r="A2561" s="78" t="s">
        <v>2689</v>
      </c>
      <c r="B2561" s="76">
        <v>64649</v>
      </c>
      <c r="C2561" s="81">
        <v>0</v>
      </c>
      <c r="D2561" s="82">
        <v>0</v>
      </c>
    </row>
    <row r="2562" spans="1:4" ht="28.5">
      <c r="A2562" s="78" t="s">
        <v>2690</v>
      </c>
      <c r="B2562" s="76">
        <v>64650</v>
      </c>
      <c r="C2562" s="81">
        <v>0</v>
      </c>
      <c r="D2562" s="82">
        <v>0</v>
      </c>
    </row>
    <row r="2563" spans="1:4" ht="28.5">
      <c r="A2563" s="78" t="s">
        <v>2691</v>
      </c>
      <c r="B2563" s="76">
        <v>64651</v>
      </c>
      <c r="C2563" s="81">
        <v>0</v>
      </c>
      <c r="D2563" s="82">
        <v>0</v>
      </c>
    </row>
    <row r="2564" spans="1:4" ht="28.5">
      <c r="A2564" s="78" t="s">
        <v>2692</v>
      </c>
      <c r="B2564" s="76">
        <v>64652</v>
      </c>
      <c r="C2564" s="81">
        <v>0</v>
      </c>
      <c r="D2564" s="82">
        <v>0</v>
      </c>
    </row>
    <row r="2565" spans="1:4" ht="28.5">
      <c r="A2565" s="78" t="s">
        <v>2693</v>
      </c>
      <c r="B2565" s="76">
        <v>64653</v>
      </c>
      <c r="C2565" s="81">
        <v>0</v>
      </c>
      <c r="D2565" s="82">
        <v>0</v>
      </c>
    </row>
    <row r="2566" spans="1:4" ht="28.5">
      <c r="A2566" s="78" t="s">
        <v>2694</v>
      </c>
      <c r="B2566" s="76">
        <v>64654</v>
      </c>
      <c r="C2566" s="81">
        <v>0</v>
      </c>
      <c r="D2566" s="82">
        <v>0</v>
      </c>
    </row>
    <row r="2567" spans="1:4" ht="28.5">
      <c r="A2567" s="78" t="s">
        <v>2695</v>
      </c>
      <c r="B2567" s="76">
        <v>64655</v>
      </c>
      <c r="C2567" s="81">
        <v>0</v>
      </c>
      <c r="D2567" s="82">
        <v>0</v>
      </c>
    </row>
    <row r="2568" spans="1:4">
      <c r="A2568" s="78" t="s">
        <v>2696</v>
      </c>
      <c r="B2568" s="76">
        <v>64676</v>
      </c>
      <c r="C2568" s="81">
        <v>0</v>
      </c>
      <c r="D2568" s="82">
        <v>0</v>
      </c>
    </row>
    <row r="2569" spans="1:4" ht="28.5">
      <c r="A2569" s="78" t="s">
        <v>2697</v>
      </c>
      <c r="B2569" s="76">
        <v>64687</v>
      </c>
      <c r="C2569" s="81">
        <v>0</v>
      </c>
      <c r="D2569" s="82">
        <v>0</v>
      </c>
    </row>
    <row r="2570" spans="1:4">
      <c r="A2570" s="78" t="s">
        <v>2698</v>
      </c>
      <c r="B2570" s="76">
        <v>64693</v>
      </c>
      <c r="C2570" s="81">
        <v>0</v>
      </c>
      <c r="D2570" s="82">
        <v>0</v>
      </c>
    </row>
    <row r="2571" spans="1:4" ht="28.5">
      <c r="A2571" s="78" t="s">
        <v>2699</v>
      </c>
      <c r="B2571" s="76">
        <v>64695</v>
      </c>
      <c r="C2571" s="81">
        <v>0</v>
      </c>
      <c r="D2571" s="82">
        <v>0</v>
      </c>
    </row>
    <row r="2572" spans="1:4" ht="28.5">
      <c r="A2572" s="78" t="s">
        <v>2700</v>
      </c>
      <c r="B2572" s="76">
        <v>64700</v>
      </c>
      <c r="C2572" s="81">
        <v>0</v>
      </c>
      <c r="D2572" s="82">
        <v>0</v>
      </c>
    </row>
    <row r="2573" spans="1:4" ht="28.5">
      <c r="A2573" s="78" t="s">
        <v>2701</v>
      </c>
      <c r="B2573" s="76">
        <v>64739</v>
      </c>
      <c r="C2573" s="81">
        <v>0</v>
      </c>
      <c r="D2573" s="82">
        <v>0</v>
      </c>
    </row>
    <row r="2574" spans="1:4">
      <c r="A2574" s="78" t="s">
        <v>2702</v>
      </c>
      <c r="B2574" s="76">
        <v>64740</v>
      </c>
      <c r="C2574" s="81">
        <v>0</v>
      </c>
      <c r="D2574" s="82">
        <v>0</v>
      </c>
    </row>
    <row r="2575" spans="1:4">
      <c r="A2575" s="78" t="s">
        <v>2703</v>
      </c>
      <c r="B2575" s="76">
        <v>64751</v>
      </c>
      <c r="C2575" s="81">
        <v>0</v>
      </c>
      <c r="D2575" s="82">
        <v>0</v>
      </c>
    </row>
    <row r="2576" spans="1:4" ht="28.5">
      <c r="A2576" s="78" t="s">
        <v>2704</v>
      </c>
      <c r="B2576" s="76">
        <v>64766</v>
      </c>
      <c r="C2576" s="81">
        <v>0</v>
      </c>
      <c r="D2576" s="82">
        <v>0</v>
      </c>
    </row>
    <row r="2577" spans="1:4">
      <c r="A2577" s="78" t="s">
        <v>2705</v>
      </c>
      <c r="B2577" s="76">
        <v>64819</v>
      </c>
      <c r="C2577" s="81">
        <v>0</v>
      </c>
      <c r="D2577" s="82">
        <v>0</v>
      </c>
    </row>
    <row r="2578" spans="1:4" ht="28.5">
      <c r="A2578" s="78" t="s">
        <v>2706</v>
      </c>
      <c r="B2578" s="76">
        <v>64830</v>
      </c>
      <c r="C2578" s="81">
        <v>0</v>
      </c>
      <c r="D2578" s="82">
        <v>0</v>
      </c>
    </row>
    <row r="2579" spans="1:4" ht="28.5">
      <c r="A2579" s="78" t="s">
        <v>2707</v>
      </c>
      <c r="B2579" s="76">
        <v>64831</v>
      </c>
      <c r="C2579" s="81">
        <v>0</v>
      </c>
      <c r="D2579" s="82">
        <v>0</v>
      </c>
    </row>
    <row r="2580" spans="1:4">
      <c r="A2580" s="78" t="s">
        <v>2708</v>
      </c>
      <c r="B2580" s="76">
        <v>64836</v>
      </c>
      <c r="C2580" s="81">
        <v>0</v>
      </c>
      <c r="D2580" s="82">
        <v>0</v>
      </c>
    </row>
    <row r="2581" spans="1:4">
      <c r="A2581" s="78" t="s">
        <v>2709</v>
      </c>
      <c r="B2581" s="76">
        <v>64837</v>
      </c>
      <c r="C2581" s="81">
        <v>0</v>
      </c>
      <c r="D2581" s="82">
        <v>0</v>
      </c>
    </row>
    <row r="2582" spans="1:4">
      <c r="A2582" s="78" t="s">
        <v>2710</v>
      </c>
      <c r="B2582" s="76">
        <v>64846</v>
      </c>
      <c r="C2582" s="81">
        <v>0</v>
      </c>
      <c r="D2582" s="82">
        <v>0</v>
      </c>
    </row>
    <row r="2583" spans="1:4">
      <c r="A2583" s="78" t="s">
        <v>2711</v>
      </c>
      <c r="B2583" s="76">
        <v>64851</v>
      </c>
      <c r="C2583" s="81">
        <v>0</v>
      </c>
      <c r="D2583" s="82">
        <v>0</v>
      </c>
    </row>
    <row r="2584" spans="1:4">
      <c r="A2584" s="78" t="s">
        <v>2712</v>
      </c>
      <c r="B2584" s="76">
        <v>64852</v>
      </c>
      <c r="C2584" s="81">
        <v>0</v>
      </c>
      <c r="D2584" s="82">
        <v>0</v>
      </c>
    </row>
    <row r="2585" spans="1:4">
      <c r="A2585" s="78" t="s">
        <v>2713</v>
      </c>
      <c r="B2585" s="76">
        <v>64861</v>
      </c>
      <c r="C2585" s="81">
        <v>0</v>
      </c>
      <c r="D2585" s="82">
        <v>0</v>
      </c>
    </row>
    <row r="2586" spans="1:4">
      <c r="A2586" s="78" t="s">
        <v>2714</v>
      </c>
      <c r="B2586" s="76">
        <v>64864</v>
      </c>
      <c r="C2586" s="81">
        <v>0</v>
      </c>
      <c r="D2586" s="82">
        <v>0</v>
      </c>
    </row>
    <row r="2587" spans="1:4" ht="28.5">
      <c r="A2587" s="78" t="s">
        <v>2715</v>
      </c>
      <c r="B2587" s="76">
        <v>64877</v>
      </c>
      <c r="C2587" s="81">
        <v>0</v>
      </c>
      <c r="D2587" s="82">
        <v>0</v>
      </c>
    </row>
    <row r="2588" spans="1:4" ht="28.5">
      <c r="A2588" s="78" t="s">
        <v>2716</v>
      </c>
      <c r="B2588" s="76">
        <v>64878</v>
      </c>
      <c r="C2588" s="81">
        <v>0</v>
      </c>
      <c r="D2588" s="82">
        <v>0</v>
      </c>
    </row>
    <row r="2589" spans="1:4" ht="28.5">
      <c r="A2589" s="78" t="s">
        <v>2717</v>
      </c>
      <c r="B2589" s="76">
        <v>64879</v>
      </c>
      <c r="C2589" s="81">
        <v>0</v>
      </c>
      <c r="D2589" s="82">
        <v>0</v>
      </c>
    </row>
    <row r="2590" spans="1:4" ht="28.5">
      <c r="A2590" s="78" t="s">
        <v>2718</v>
      </c>
      <c r="B2590" s="76">
        <v>64880</v>
      </c>
      <c r="C2590" s="81">
        <v>0</v>
      </c>
      <c r="D2590" s="82">
        <v>0</v>
      </c>
    </row>
    <row r="2591" spans="1:4" ht="28.5">
      <c r="A2591" s="78" t="s">
        <v>2719</v>
      </c>
      <c r="B2591" s="76">
        <v>64881</v>
      </c>
      <c r="C2591" s="81">
        <v>0</v>
      </c>
      <c r="D2591" s="82">
        <v>0</v>
      </c>
    </row>
    <row r="2592" spans="1:4">
      <c r="A2592" s="78" t="s">
        <v>2720</v>
      </c>
      <c r="B2592" s="76">
        <v>64903</v>
      </c>
      <c r="C2592" s="81">
        <v>0</v>
      </c>
      <c r="D2592" s="82">
        <v>0</v>
      </c>
    </row>
    <row r="2593" spans="1:4">
      <c r="A2593" s="78" t="s">
        <v>2721</v>
      </c>
      <c r="B2593" s="76">
        <v>64908</v>
      </c>
      <c r="C2593" s="81">
        <v>0</v>
      </c>
      <c r="D2593" s="82">
        <v>0</v>
      </c>
    </row>
    <row r="2594" spans="1:4">
      <c r="A2594" s="78" t="s">
        <v>2722</v>
      </c>
      <c r="B2594" s="76">
        <v>64909</v>
      </c>
      <c r="C2594" s="81">
        <v>0</v>
      </c>
      <c r="D2594" s="82">
        <v>0</v>
      </c>
    </row>
    <row r="2595" spans="1:4">
      <c r="A2595" s="78" t="s">
        <v>2723</v>
      </c>
      <c r="B2595" s="76">
        <v>64914</v>
      </c>
      <c r="C2595" s="81">
        <v>0</v>
      </c>
      <c r="D2595" s="82">
        <v>0</v>
      </c>
    </row>
    <row r="2596" spans="1:4" ht="28.5">
      <c r="A2596" s="78" t="s">
        <v>2724</v>
      </c>
      <c r="B2596" s="76">
        <v>64928</v>
      </c>
      <c r="C2596" s="81">
        <v>0</v>
      </c>
      <c r="D2596" s="82">
        <v>0</v>
      </c>
    </row>
    <row r="2597" spans="1:4" ht="28.5">
      <c r="A2597" s="78" t="s">
        <v>2725</v>
      </c>
      <c r="B2597" s="76">
        <v>64929</v>
      </c>
      <c r="C2597" s="81">
        <v>0</v>
      </c>
      <c r="D2597" s="82">
        <v>0</v>
      </c>
    </row>
    <row r="2598" spans="1:4" ht="28.5">
      <c r="A2598" s="78" t="s">
        <v>2726</v>
      </c>
      <c r="B2598" s="76">
        <v>64968</v>
      </c>
      <c r="C2598" s="81">
        <v>0</v>
      </c>
      <c r="D2598" s="82">
        <v>0</v>
      </c>
    </row>
    <row r="2599" spans="1:4" ht="28.5">
      <c r="A2599" s="78" t="s">
        <v>2727</v>
      </c>
      <c r="B2599" s="76">
        <v>64993</v>
      </c>
      <c r="C2599" s="81">
        <v>0</v>
      </c>
      <c r="D2599" s="82">
        <v>0</v>
      </c>
    </row>
    <row r="2600" spans="1:4" ht="42.75">
      <c r="A2600" s="78" t="s">
        <v>2728</v>
      </c>
      <c r="B2600" s="76">
        <v>64994</v>
      </c>
      <c r="C2600" s="81">
        <v>0</v>
      </c>
      <c r="D2600" s="82">
        <v>0</v>
      </c>
    </row>
    <row r="2601" spans="1:4" ht="42.75">
      <c r="A2601" s="78" t="s">
        <v>2729</v>
      </c>
      <c r="B2601" s="76">
        <v>65002</v>
      </c>
      <c r="C2601" s="81">
        <v>0</v>
      </c>
      <c r="D2601" s="82">
        <v>0</v>
      </c>
    </row>
    <row r="2602" spans="1:4" ht="28.5">
      <c r="A2602" s="78" t="s">
        <v>2730</v>
      </c>
      <c r="B2602" s="76">
        <v>65032</v>
      </c>
      <c r="C2602" s="81">
        <v>0</v>
      </c>
      <c r="D2602" s="82">
        <v>0</v>
      </c>
    </row>
    <row r="2603" spans="1:4" ht="28.5">
      <c r="A2603" s="78" t="s">
        <v>2731</v>
      </c>
      <c r="B2603" s="76">
        <v>65033</v>
      </c>
      <c r="C2603" s="81">
        <v>0</v>
      </c>
      <c r="D2603" s="82">
        <v>0</v>
      </c>
    </row>
    <row r="2604" spans="1:4" ht="28.5">
      <c r="A2604" s="78" t="s">
        <v>2732</v>
      </c>
      <c r="B2604" s="76">
        <v>65053</v>
      </c>
      <c r="C2604" s="81">
        <v>0</v>
      </c>
      <c r="D2604" s="82">
        <v>0</v>
      </c>
    </row>
    <row r="2605" spans="1:4">
      <c r="A2605" s="78" t="s">
        <v>2733</v>
      </c>
      <c r="B2605" s="76">
        <v>65059</v>
      </c>
      <c r="C2605" s="81">
        <v>0</v>
      </c>
      <c r="D2605" s="82">
        <v>0</v>
      </c>
    </row>
    <row r="2606" spans="1:4" ht="28.5">
      <c r="A2606" s="78" t="s">
        <v>2734</v>
      </c>
      <c r="B2606" s="76">
        <v>65072</v>
      </c>
      <c r="C2606" s="81">
        <v>0</v>
      </c>
      <c r="D2606" s="82">
        <v>0</v>
      </c>
    </row>
    <row r="2607" spans="1:4" ht="28.5">
      <c r="A2607" s="78" t="s">
        <v>2735</v>
      </c>
      <c r="B2607" s="76">
        <v>65073</v>
      </c>
      <c r="C2607" s="81">
        <v>0</v>
      </c>
      <c r="D2607" s="82">
        <v>0</v>
      </c>
    </row>
    <row r="2608" spans="1:4" ht="28.5">
      <c r="A2608" s="78" t="s">
        <v>2736</v>
      </c>
      <c r="B2608" s="76">
        <v>65084</v>
      </c>
      <c r="C2608" s="81">
        <v>0</v>
      </c>
      <c r="D2608" s="82">
        <v>0</v>
      </c>
    </row>
    <row r="2609" spans="1:4">
      <c r="A2609" s="78" t="s">
        <v>2737</v>
      </c>
      <c r="B2609" s="76">
        <v>65091</v>
      </c>
      <c r="C2609" s="81">
        <v>0</v>
      </c>
      <c r="D2609" s="82">
        <v>0</v>
      </c>
    </row>
    <row r="2610" spans="1:4" ht="42.75">
      <c r="A2610" s="78" t="s">
        <v>2738</v>
      </c>
      <c r="B2610" s="76">
        <v>65104</v>
      </c>
      <c r="C2610" s="81">
        <v>0</v>
      </c>
      <c r="D2610" s="82">
        <v>0</v>
      </c>
    </row>
    <row r="2611" spans="1:4" ht="42.75">
      <c r="A2611" s="78" t="s">
        <v>2739</v>
      </c>
      <c r="B2611" s="76">
        <v>65105</v>
      </c>
      <c r="C2611" s="81">
        <v>0</v>
      </c>
      <c r="D2611" s="82">
        <v>0</v>
      </c>
    </row>
    <row r="2612" spans="1:4">
      <c r="A2612" s="78" t="s">
        <v>2740</v>
      </c>
      <c r="B2612" s="76">
        <v>65131</v>
      </c>
      <c r="C2612" s="81">
        <v>0</v>
      </c>
      <c r="D2612" s="82">
        <v>0</v>
      </c>
    </row>
    <row r="2613" spans="1:4" ht="28.5">
      <c r="A2613" s="78" t="s">
        <v>2741</v>
      </c>
      <c r="B2613" s="76">
        <v>65132</v>
      </c>
      <c r="C2613" s="81">
        <v>0</v>
      </c>
      <c r="D2613" s="82">
        <v>0</v>
      </c>
    </row>
    <row r="2614" spans="1:4" ht="28.5">
      <c r="A2614" s="78" t="s">
        <v>2742</v>
      </c>
      <c r="B2614" s="76">
        <v>65168</v>
      </c>
      <c r="C2614" s="81">
        <v>0</v>
      </c>
      <c r="D2614" s="82">
        <v>0</v>
      </c>
    </row>
    <row r="2615" spans="1:4" ht="28.5">
      <c r="A2615" s="78" t="s">
        <v>2743</v>
      </c>
      <c r="B2615" s="76">
        <v>65169</v>
      </c>
      <c r="C2615" s="81">
        <v>0</v>
      </c>
      <c r="D2615" s="82">
        <v>0</v>
      </c>
    </row>
    <row r="2616" spans="1:4">
      <c r="A2616" s="78" t="s">
        <v>2744</v>
      </c>
      <c r="B2616" s="76">
        <v>65177</v>
      </c>
      <c r="C2616" s="81">
        <v>0</v>
      </c>
      <c r="D2616" s="82">
        <v>0</v>
      </c>
    </row>
    <row r="2617" spans="1:4" ht="28.5">
      <c r="A2617" s="78" t="s">
        <v>2745</v>
      </c>
      <c r="B2617" s="76">
        <v>65178</v>
      </c>
      <c r="C2617" s="81">
        <v>0</v>
      </c>
      <c r="D2617" s="82">
        <v>0</v>
      </c>
    </row>
    <row r="2618" spans="1:4">
      <c r="A2618" s="78" t="s">
        <v>2746</v>
      </c>
      <c r="B2618" s="76">
        <v>65182</v>
      </c>
      <c r="C2618" s="81">
        <v>0</v>
      </c>
      <c r="D2618" s="82">
        <v>0</v>
      </c>
    </row>
    <row r="2619" spans="1:4" ht="28.5">
      <c r="A2619" s="78" t="s">
        <v>2747</v>
      </c>
      <c r="B2619" s="76">
        <v>65185</v>
      </c>
      <c r="C2619" s="81">
        <v>0</v>
      </c>
      <c r="D2619" s="82">
        <v>0</v>
      </c>
    </row>
    <row r="2620" spans="1:4" ht="28.5">
      <c r="A2620" s="78" t="s">
        <v>2748</v>
      </c>
      <c r="B2620" s="76">
        <v>65186</v>
      </c>
      <c r="C2620" s="81">
        <v>0</v>
      </c>
      <c r="D2620" s="82">
        <v>0</v>
      </c>
    </row>
    <row r="2621" spans="1:4" ht="28.5">
      <c r="A2621" s="78" t="s">
        <v>2749</v>
      </c>
      <c r="B2621" s="76">
        <v>65187</v>
      </c>
      <c r="C2621" s="81">
        <v>0</v>
      </c>
      <c r="D2621" s="82">
        <v>0</v>
      </c>
    </row>
    <row r="2622" spans="1:4" ht="28.5">
      <c r="A2622" s="78" t="s">
        <v>2750</v>
      </c>
      <c r="B2622" s="76">
        <v>65188</v>
      </c>
      <c r="C2622" s="81">
        <v>0</v>
      </c>
      <c r="D2622" s="82">
        <v>0</v>
      </c>
    </row>
    <row r="2623" spans="1:4" ht="42.75">
      <c r="A2623" s="78" t="s">
        <v>2751</v>
      </c>
      <c r="B2623" s="76">
        <v>65189</v>
      </c>
      <c r="C2623" s="81">
        <v>0</v>
      </c>
      <c r="D2623" s="82">
        <v>0</v>
      </c>
    </row>
    <row r="2624" spans="1:4" ht="42.75">
      <c r="A2624" s="78" t="s">
        <v>2752</v>
      </c>
      <c r="B2624" s="76">
        <v>65190</v>
      </c>
      <c r="C2624" s="81">
        <v>0</v>
      </c>
      <c r="D2624" s="82">
        <v>0</v>
      </c>
    </row>
    <row r="2625" spans="1:4">
      <c r="A2625" s="78" t="s">
        <v>2753</v>
      </c>
      <c r="B2625" s="76">
        <v>65228</v>
      </c>
      <c r="C2625" s="81">
        <v>0</v>
      </c>
      <c r="D2625" s="82">
        <v>0</v>
      </c>
    </row>
    <row r="2626" spans="1:4" ht="28.5">
      <c r="A2626" s="78" t="s">
        <v>2754</v>
      </c>
      <c r="B2626" s="76">
        <v>65229</v>
      </c>
      <c r="C2626" s="81">
        <v>0</v>
      </c>
      <c r="D2626" s="82">
        <v>0</v>
      </c>
    </row>
    <row r="2627" spans="1:4" ht="28.5">
      <c r="A2627" s="78" t="s">
        <v>2755</v>
      </c>
      <c r="B2627" s="76">
        <v>65231</v>
      </c>
      <c r="C2627" s="81">
        <v>0</v>
      </c>
      <c r="D2627" s="82">
        <v>0</v>
      </c>
    </row>
    <row r="2628" spans="1:4">
      <c r="A2628" s="78" t="s">
        <v>2756</v>
      </c>
      <c r="B2628" s="76">
        <v>65235</v>
      </c>
      <c r="C2628" s="81">
        <v>0</v>
      </c>
      <c r="D2628" s="82">
        <v>0</v>
      </c>
    </row>
    <row r="2629" spans="1:4">
      <c r="A2629" s="78" t="s">
        <v>2757</v>
      </c>
      <c r="B2629" s="76">
        <v>65236</v>
      </c>
      <c r="C2629" s="81">
        <v>0</v>
      </c>
      <c r="D2629" s="82">
        <v>0</v>
      </c>
    </row>
    <row r="2630" spans="1:4">
      <c r="A2630" s="78" t="s">
        <v>2758</v>
      </c>
      <c r="B2630" s="76">
        <v>65237</v>
      </c>
      <c r="C2630" s="81">
        <v>0</v>
      </c>
      <c r="D2630" s="82">
        <v>0</v>
      </c>
    </row>
    <row r="2631" spans="1:4" ht="28.5">
      <c r="A2631" s="78" t="s">
        <v>2759</v>
      </c>
      <c r="B2631" s="76">
        <v>65238</v>
      </c>
      <c r="C2631" s="81">
        <v>0</v>
      </c>
      <c r="D2631" s="82">
        <v>0</v>
      </c>
    </row>
    <row r="2632" spans="1:4" ht="28.5">
      <c r="A2632" s="78" t="s">
        <v>2760</v>
      </c>
      <c r="B2632" s="76">
        <v>65251</v>
      </c>
      <c r="C2632" s="81">
        <v>0</v>
      </c>
      <c r="D2632" s="82">
        <v>0</v>
      </c>
    </row>
    <row r="2633" spans="1:4" ht="28.5">
      <c r="A2633" s="78" t="s">
        <v>2761</v>
      </c>
      <c r="B2633" s="76">
        <v>65252</v>
      </c>
      <c r="C2633" s="81">
        <v>0</v>
      </c>
      <c r="D2633" s="82">
        <v>0</v>
      </c>
    </row>
    <row r="2634" spans="1:4" ht="28.5">
      <c r="A2634" s="78" t="s">
        <v>2762</v>
      </c>
      <c r="B2634" s="76">
        <v>65253</v>
      </c>
      <c r="C2634" s="81">
        <v>0</v>
      </c>
      <c r="D2634" s="82">
        <v>0</v>
      </c>
    </row>
    <row r="2635" spans="1:4" ht="42.75">
      <c r="A2635" s="78" t="s">
        <v>2763</v>
      </c>
      <c r="B2635" s="76">
        <v>65254</v>
      </c>
      <c r="C2635" s="81">
        <v>0</v>
      </c>
      <c r="D2635" s="82">
        <v>0</v>
      </c>
    </row>
    <row r="2636" spans="1:4" ht="28.5">
      <c r="A2636" s="78" t="s">
        <v>2764</v>
      </c>
      <c r="B2636" s="76">
        <v>65255</v>
      </c>
      <c r="C2636" s="81">
        <v>0</v>
      </c>
      <c r="D2636" s="82">
        <v>0</v>
      </c>
    </row>
    <row r="2637" spans="1:4" ht="28.5">
      <c r="A2637" s="78" t="s">
        <v>2765</v>
      </c>
      <c r="B2637" s="76">
        <v>65256</v>
      </c>
      <c r="C2637" s="81">
        <v>0</v>
      </c>
      <c r="D2637" s="82">
        <v>0</v>
      </c>
    </row>
    <row r="2638" spans="1:4" ht="28.5">
      <c r="A2638" s="78" t="s">
        <v>2766</v>
      </c>
      <c r="B2638" s="76">
        <v>65277</v>
      </c>
      <c r="C2638" s="81">
        <v>0</v>
      </c>
      <c r="D2638" s="82">
        <v>0</v>
      </c>
    </row>
    <row r="2639" spans="1:4" ht="28.5">
      <c r="A2639" s="78" t="s">
        <v>2767</v>
      </c>
      <c r="B2639" s="76">
        <v>65278</v>
      </c>
      <c r="C2639" s="81">
        <v>0</v>
      </c>
      <c r="D2639" s="82">
        <v>0</v>
      </c>
    </row>
    <row r="2640" spans="1:4" ht="28.5">
      <c r="A2640" s="78" t="s">
        <v>2768</v>
      </c>
      <c r="B2640" s="76">
        <v>65311</v>
      </c>
      <c r="C2640" s="81">
        <v>0</v>
      </c>
      <c r="D2640" s="82">
        <v>0</v>
      </c>
    </row>
    <row r="2641" spans="1:4" ht="28.5">
      <c r="A2641" s="78" t="s">
        <v>2769</v>
      </c>
      <c r="B2641" s="76">
        <v>65330</v>
      </c>
      <c r="C2641" s="81">
        <v>0</v>
      </c>
      <c r="D2641" s="82">
        <v>0</v>
      </c>
    </row>
    <row r="2642" spans="1:4" ht="28.5">
      <c r="A2642" s="78" t="s">
        <v>2770</v>
      </c>
      <c r="B2642" s="76">
        <v>65331</v>
      </c>
      <c r="C2642" s="81">
        <v>0</v>
      </c>
      <c r="D2642" s="82">
        <v>0</v>
      </c>
    </row>
    <row r="2643" spans="1:4" ht="42.75">
      <c r="A2643" s="78" t="s">
        <v>2771</v>
      </c>
      <c r="B2643" s="76">
        <v>65365</v>
      </c>
      <c r="C2643" s="81">
        <v>0</v>
      </c>
      <c r="D2643" s="82">
        <v>0</v>
      </c>
    </row>
    <row r="2644" spans="1:4" ht="28.5">
      <c r="A2644" s="78" t="s">
        <v>2772</v>
      </c>
      <c r="B2644" s="76">
        <v>65382</v>
      </c>
      <c r="C2644" s="81">
        <v>0</v>
      </c>
      <c r="D2644" s="82">
        <v>0</v>
      </c>
    </row>
    <row r="2645" spans="1:4" ht="28.5">
      <c r="A2645" s="78" t="s">
        <v>2773</v>
      </c>
      <c r="B2645" s="76">
        <v>65383</v>
      </c>
      <c r="C2645" s="81">
        <v>0</v>
      </c>
      <c r="D2645" s="82">
        <v>0</v>
      </c>
    </row>
    <row r="2646" spans="1:4" ht="28.5">
      <c r="A2646" s="78" t="s">
        <v>2774</v>
      </c>
      <c r="B2646" s="76">
        <v>65384</v>
      </c>
      <c r="C2646" s="81">
        <v>0</v>
      </c>
      <c r="D2646" s="82">
        <v>0</v>
      </c>
    </row>
    <row r="2647" spans="1:4">
      <c r="A2647" s="78" t="s">
        <v>2775</v>
      </c>
      <c r="B2647" s="76">
        <v>65403</v>
      </c>
      <c r="C2647" s="81">
        <v>0</v>
      </c>
      <c r="D2647" s="82">
        <v>0</v>
      </c>
    </row>
    <row r="2648" spans="1:4" ht="28.5">
      <c r="A2648" s="78" t="s">
        <v>2776</v>
      </c>
      <c r="B2648" s="76">
        <v>65408</v>
      </c>
      <c r="C2648" s="81">
        <v>0</v>
      </c>
      <c r="D2648" s="82">
        <v>0</v>
      </c>
    </row>
    <row r="2649" spans="1:4" ht="28.5">
      <c r="A2649" s="78" t="s">
        <v>2777</v>
      </c>
      <c r="B2649" s="76">
        <v>65409</v>
      </c>
      <c r="C2649" s="81">
        <v>0</v>
      </c>
      <c r="D2649" s="82">
        <v>0</v>
      </c>
    </row>
    <row r="2650" spans="1:4" ht="42.75">
      <c r="A2650" s="78" t="s">
        <v>2778</v>
      </c>
      <c r="B2650" s="76">
        <v>65447</v>
      </c>
      <c r="C2650" s="81">
        <v>0</v>
      </c>
      <c r="D2650" s="82">
        <v>0</v>
      </c>
    </row>
    <row r="2651" spans="1:4" ht="28.5">
      <c r="A2651" s="78" t="s">
        <v>2779</v>
      </c>
      <c r="B2651" s="76">
        <v>65464</v>
      </c>
      <c r="C2651" s="81">
        <v>0</v>
      </c>
      <c r="D2651" s="82">
        <v>0</v>
      </c>
    </row>
    <row r="2652" spans="1:4" ht="28.5">
      <c r="A2652" s="78" t="s">
        <v>2780</v>
      </c>
      <c r="B2652" s="76">
        <v>65469</v>
      </c>
      <c r="C2652" s="81">
        <v>0</v>
      </c>
      <c r="D2652" s="82">
        <v>0</v>
      </c>
    </row>
    <row r="2653" spans="1:4" ht="28.5">
      <c r="A2653" s="78" t="s">
        <v>2781</v>
      </c>
      <c r="B2653" s="76">
        <v>65485</v>
      </c>
      <c r="C2653" s="81">
        <v>0</v>
      </c>
      <c r="D2653" s="82">
        <v>0</v>
      </c>
    </row>
    <row r="2654" spans="1:4" ht="28.5">
      <c r="A2654" s="78" t="s">
        <v>2782</v>
      </c>
      <c r="B2654" s="76">
        <v>65510</v>
      </c>
      <c r="C2654" s="81">
        <v>0</v>
      </c>
      <c r="D2654" s="82">
        <v>0</v>
      </c>
    </row>
    <row r="2655" spans="1:4">
      <c r="A2655" s="78" t="s">
        <v>2783</v>
      </c>
      <c r="B2655" s="76">
        <v>65520</v>
      </c>
      <c r="C2655" s="81">
        <v>0</v>
      </c>
      <c r="D2655" s="82">
        <v>0</v>
      </c>
    </row>
    <row r="2656" spans="1:4" ht="42.75">
      <c r="A2656" s="78" t="s">
        <v>2784</v>
      </c>
      <c r="B2656" s="76">
        <v>65523</v>
      </c>
      <c r="C2656" s="81">
        <v>0</v>
      </c>
      <c r="D2656" s="82">
        <v>0</v>
      </c>
    </row>
    <row r="2657" spans="1:4" ht="42.75">
      <c r="A2657" s="78" t="s">
        <v>2785</v>
      </c>
      <c r="B2657" s="76">
        <v>65524</v>
      </c>
      <c r="C2657" s="81">
        <v>0</v>
      </c>
      <c r="D2657" s="82">
        <v>0</v>
      </c>
    </row>
    <row r="2658" spans="1:4" ht="42.75">
      <c r="A2658" s="78" t="s">
        <v>2786</v>
      </c>
      <c r="B2658" s="76">
        <v>65525</v>
      </c>
      <c r="C2658" s="81">
        <v>0</v>
      </c>
      <c r="D2658" s="82">
        <v>0</v>
      </c>
    </row>
    <row r="2659" spans="1:4" ht="42.75">
      <c r="A2659" s="78" t="s">
        <v>2787</v>
      </c>
      <c r="B2659" s="76">
        <v>65526</v>
      </c>
      <c r="C2659" s="81">
        <v>0</v>
      </c>
      <c r="D2659" s="82">
        <v>0</v>
      </c>
    </row>
    <row r="2660" spans="1:4" ht="42.75">
      <c r="A2660" s="78" t="s">
        <v>2788</v>
      </c>
      <c r="B2660" s="76">
        <v>65528</v>
      </c>
      <c r="C2660" s="81">
        <v>0</v>
      </c>
      <c r="D2660" s="82">
        <v>0</v>
      </c>
    </row>
    <row r="2661" spans="1:4" ht="42.75">
      <c r="A2661" s="78" t="s">
        <v>2789</v>
      </c>
      <c r="B2661" s="76">
        <v>65562</v>
      </c>
      <c r="C2661" s="81">
        <v>0</v>
      </c>
      <c r="D2661" s="82">
        <v>0</v>
      </c>
    </row>
    <row r="2662" spans="1:4" ht="28.5">
      <c r="A2662" s="78" t="s">
        <v>2790</v>
      </c>
      <c r="B2662" s="76">
        <v>65564</v>
      </c>
      <c r="C2662" s="81">
        <v>0</v>
      </c>
      <c r="D2662" s="82">
        <v>0</v>
      </c>
    </row>
    <row r="2663" spans="1:4" ht="28.5">
      <c r="A2663" s="78" t="s">
        <v>2791</v>
      </c>
      <c r="B2663" s="76">
        <v>65568</v>
      </c>
      <c r="C2663" s="81">
        <v>0</v>
      </c>
      <c r="D2663" s="82">
        <v>0</v>
      </c>
    </row>
    <row r="2664" spans="1:4" ht="42.75">
      <c r="A2664" s="78" t="s">
        <v>2792</v>
      </c>
      <c r="B2664" s="76">
        <v>65569</v>
      </c>
      <c r="C2664" s="81">
        <v>0</v>
      </c>
      <c r="D2664" s="82">
        <v>0</v>
      </c>
    </row>
    <row r="2665" spans="1:4">
      <c r="A2665" s="78" t="s">
        <v>2793</v>
      </c>
      <c r="B2665" s="76">
        <v>65609</v>
      </c>
      <c r="C2665" s="81">
        <v>0</v>
      </c>
      <c r="D2665" s="82">
        <v>0</v>
      </c>
    </row>
    <row r="2666" spans="1:4" ht="42.75">
      <c r="A2666" s="78" t="s">
        <v>2794</v>
      </c>
      <c r="B2666" s="76">
        <v>65614</v>
      </c>
      <c r="C2666" s="81">
        <v>0</v>
      </c>
      <c r="D2666" s="82">
        <v>0</v>
      </c>
    </row>
    <row r="2667" spans="1:4" ht="28.5">
      <c r="A2667" s="78" t="s">
        <v>2795</v>
      </c>
      <c r="B2667" s="76">
        <v>65615</v>
      </c>
      <c r="C2667" s="81">
        <v>0</v>
      </c>
      <c r="D2667" s="82">
        <v>0</v>
      </c>
    </row>
    <row r="2668" spans="1:4">
      <c r="A2668" s="78" t="s">
        <v>2796</v>
      </c>
      <c r="B2668" s="76">
        <v>65617</v>
      </c>
      <c r="C2668" s="81">
        <v>0</v>
      </c>
      <c r="D2668" s="82">
        <v>0</v>
      </c>
    </row>
    <row r="2669" spans="1:4">
      <c r="A2669" s="78" t="s">
        <v>2797</v>
      </c>
      <c r="B2669" s="76">
        <v>65618</v>
      </c>
      <c r="C2669" s="81">
        <v>0</v>
      </c>
      <c r="D2669" s="82">
        <v>0</v>
      </c>
    </row>
    <row r="2670" spans="1:4" ht="28.5">
      <c r="A2670" s="78" t="s">
        <v>2798</v>
      </c>
      <c r="B2670" s="76">
        <v>65652</v>
      </c>
      <c r="C2670" s="81">
        <v>0</v>
      </c>
      <c r="D2670" s="82">
        <v>0</v>
      </c>
    </row>
    <row r="2671" spans="1:4">
      <c r="A2671" s="78" t="s">
        <v>2799</v>
      </c>
      <c r="B2671" s="76">
        <v>65663</v>
      </c>
      <c r="C2671" s="81">
        <v>0</v>
      </c>
      <c r="D2671" s="82">
        <v>0</v>
      </c>
    </row>
    <row r="2672" spans="1:4">
      <c r="A2672" s="78" t="s">
        <v>2800</v>
      </c>
      <c r="B2672" s="76">
        <v>65664</v>
      </c>
      <c r="C2672" s="81">
        <v>0</v>
      </c>
      <c r="D2672" s="82">
        <v>0</v>
      </c>
    </row>
    <row r="2673" spans="1:4" ht="28.5">
      <c r="A2673" s="78" t="s">
        <v>2801</v>
      </c>
      <c r="B2673" s="76">
        <v>65674</v>
      </c>
      <c r="C2673" s="81">
        <v>0</v>
      </c>
      <c r="D2673" s="82">
        <v>0</v>
      </c>
    </row>
    <row r="2674" spans="1:4" ht="28.5">
      <c r="A2674" s="78" t="s">
        <v>2802</v>
      </c>
      <c r="B2674" s="76">
        <v>65675</v>
      </c>
      <c r="C2674" s="81">
        <v>0</v>
      </c>
      <c r="D2674" s="82">
        <v>0</v>
      </c>
    </row>
    <row r="2675" spans="1:4" ht="28.5">
      <c r="A2675" s="78" t="s">
        <v>2803</v>
      </c>
      <c r="B2675" s="76">
        <v>65676</v>
      </c>
      <c r="C2675" s="81">
        <v>0</v>
      </c>
      <c r="D2675" s="82">
        <v>0</v>
      </c>
    </row>
    <row r="2676" spans="1:4" ht="28.5">
      <c r="A2676" s="78" t="s">
        <v>2804</v>
      </c>
      <c r="B2676" s="76">
        <v>65677</v>
      </c>
      <c r="C2676" s="81">
        <v>0</v>
      </c>
      <c r="D2676" s="82">
        <v>0</v>
      </c>
    </row>
    <row r="2677" spans="1:4">
      <c r="A2677" s="78" t="s">
        <v>2805</v>
      </c>
      <c r="B2677" s="76">
        <v>65678</v>
      </c>
      <c r="C2677" s="81">
        <v>0</v>
      </c>
      <c r="D2677" s="82">
        <v>0</v>
      </c>
    </row>
    <row r="2678" spans="1:4">
      <c r="A2678" s="78" t="s">
        <v>2806</v>
      </c>
      <c r="B2678" s="76">
        <v>65706</v>
      </c>
      <c r="C2678" s="81">
        <v>0</v>
      </c>
      <c r="D2678" s="82">
        <v>0</v>
      </c>
    </row>
    <row r="2679" spans="1:4" ht="28.5">
      <c r="A2679" s="78" t="s">
        <v>2807</v>
      </c>
      <c r="B2679" s="76">
        <v>65707</v>
      </c>
      <c r="C2679" s="81">
        <v>0</v>
      </c>
      <c r="D2679" s="82">
        <v>0</v>
      </c>
    </row>
    <row r="2680" spans="1:4" ht="28.5">
      <c r="A2680" s="78" t="s">
        <v>2808</v>
      </c>
      <c r="B2680" s="76">
        <v>65711</v>
      </c>
      <c r="C2680" s="81">
        <v>0</v>
      </c>
      <c r="D2680" s="82">
        <v>0</v>
      </c>
    </row>
    <row r="2681" spans="1:4" ht="28.5">
      <c r="A2681" s="78" t="s">
        <v>2809</v>
      </c>
      <c r="B2681" s="76">
        <v>65734</v>
      </c>
      <c r="C2681" s="81">
        <v>0</v>
      </c>
      <c r="D2681" s="82">
        <v>0</v>
      </c>
    </row>
    <row r="2682" spans="1:4" ht="28.5">
      <c r="A2682" s="78" t="s">
        <v>2810</v>
      </c>
      <c r="B2682" s="76">
        <v>65735</v>
      </c>
      <c r="C2682" s="81">
        <v>0</v>
      </c>
      <c r="D2682" s="82">
        <v>0</v>
      </c>
    </row>
    <row r="2683" spans="1:4" ht="28.5">
      <c r="A2683" s="78" t="s">
        <v>2811</v>
      </c>
      <c r="B2683" s="76">
        <v>65737</v>
      </c>
      <c r="C2683" s="81">
        <v>0</v>
      </c>
      <c r="D2683" s="82">
        <v>0</v>
      </c>
    </row>
    <row r="2684" spans="1:4" ht="28.5">
      <c r="A2684" s="78" t="s">
        <v>2812</v>
      </c>
      <c r="B2684" s="76">
        <v>65740</v>
      </c>
      <c r="C2684" s="81">
        <v>0</v>
      </c>
      <c r="D2684" s="82">
        <v>0</v>
      </c>
    </row>
    <row r="2685" spans="1:4">
      <c r="A2685" s="78" t="s">
        <v>2813</v>
      </c>
      <c r="B2685" s="76">
        <v>65743</v>
      </c>
      <c r="C2685" s="81">
        <v>0</v>
      </c>
      <c r="D2685" s="82">
        <v>0</v>
      </c>
    </row>
    <row r="2686" spans="1:4">
      <c r="A2686" s="78" t="s">
        <v>2814</v>
      </c>
      <c r="B2686" s="76">
        <v>65744</v>
      </c>
      <c r="C2686" s="81">
        <v>0</v>
      </c>
      <c r="D2686" s="82">
        <v>0</v>
      </c>
    </row>
    <row r="2687" spans="1:4" ht="28.5">
      <c r="A2687" s="78" t="s">
        <v>2815</v>
      </c>
      <c r="B2687" s="76">
        <v>65745</v>
      </c>
      <c r="C2687" s="81">
        <v>0</v>
      </c>
      <c r="D2687" s="82">
        <v>0</v>
      </c>
    </row>
    <row r="2688" spans="1:4" ht="28.5">
      <c r="A2688" s="78" t="s">
        <v>2816</v>
      </c>
      <c r="B2688" s="76">
        <v>65746</v>
      </c>
      <c r="C2688" s="81">
        <v>0</v>
      </c>
      <c r="D2688" s="82">
        <v>0</v>
      </c>
    </row>
    <row r="2689" spans="1:4" ht="28.5">
      <c r="A2689" s="78" t="s">
        <v>2817</v>
      </c>
      <c r="B2689" s="76">
        <v>65747</v>
      </c>
      <c r="C2689" s="81">
        <v>0</v>
      </c>
      <c r="D2689" s="82">
        <v>0</v>
      </c>
    </row>
    <row r="2690" spans="1:4" ht="28.5">
      <c r="A2690" s="78" t="s">
        <v>2818</v>
      </c>
      <c r="B2690" s="76">
        <v>65748</v>
      </c>
      <c r="C2690" s="81">
        <v>0</v>
      </c>
      <c r="D2690" s="82">
        <v>0</v>
      </c>
    </row>
    <row r="2691" spans="1:4" ht="28.5">
      <c r="A2691" s="78" t="s">
        <v>2819</v>
      </c>
      <c r="B2691" s="76">
        <v>65749</v>
      </c>
      <c r="C2691" s="81">
        <v>0</v>
      </c>
      <c r="D2691" s="82">
        <v>0</v>
      </c>
    </row>
    <row r="2692" spans="1:4" ht="28.5">
      <c r="A2692" s="78" t="s">
        <v>2820</v>
      </c>
      <c r="B2692" s="76">
        <v>65750</v>
      </c>
      <c r="C2692" s="81">
        <v>0</v>
      </c>
      <c r="D2692" s="82">
        <v>0</v>
      </c>
    </row>
    <row r="2693" spans="1:4" ht="28.5">
      <c r="A2693" s="78" t="s">
        <v>2821</v>
      </c>
      <c r="B2693" s="76">
        <v>65751</v>
      </c>
      <c r="C2693" s="81">
        <v>0</v>
      </c>
      <c r="D2693" s="82">
        <v>0</v>
      </c>
    </row>
    <row r="2694" spans="1:4">
      <c r="A2694" s="78" t="s">
        <v>2822</v>
      </c>
      <c r="B2694" s="76">
        <v>65770</v>
      </c>
      <c r="C2694" s="81">
        <v>0</v>
      </c>
      <c r="D2694" s="82">
        <v>0</v>
      </c>
    </row>
    <row r="2695" spans="1:4" ht="28.5">
      <c r="A2695" s="78" t="s">
        <v>2823</v>
      </c>
      <c r="B2695" s="76">
        <v>65783</v>
      </c>
      <c r="C2695" s="81">
        <v>0</v>
      </c>
      <c r="D2695" s="82">
        <v>0</v>
      </c>
    </row>
    <row r="2696" spans="1:4" ht="28.5">
      <c r="A2696" s="78" t="s">
        <v>2824</v>
      </c>
      <c r="B2696" s="76">
        <v>65794</v>
      </c>
      <c r="C2696" s="81">
        <v>0</v>
      </c>
      <c r="D2696" s="82">
        <v>0</v>
      </c>
    </row>
    <row r="2697" spans="1:4">
      <c r="A2697" s="78" t="s">
        <v>2825</v>
      </c>
      <c r="B2697" s="76">
        <v>65806</v>
      </c>
      <c r="C2697" s="81">
        <v>0</v>
      </c>
      <c r="D2697" s="82">
        <v>0</v>
      </c>
    </row>
    <row r="2698" spans="1:4">
      <c r="A2698" s="78" t="s">
        <v>2826</v>
      </c>
      <c r="B2698" s="76">
        <v>65820</v>
      </c>
      <c r="C2698" s="81">
        <v>0</v>
      </c>
      <c r="D2698" s="82">
        <v>0</v>
      </c>
    </row>
    <row r="2699" spans="1:4" ht="28.5">
      <c r="A2699" s="78" t="s">
        <v>2827</v>
      </c>
      <c r="B2699" s="76">
        <v>65956</v>
      </c>
      <c r="C2699" s="81">
        <v>0</v>
      </c>
      <c r="D2699" s="82">
        <v>0</v>
      </c>
    </row>
    <row r="2700" spans="1:4" ht="28.5">
      <c r="A2700" s="78" t="s">
        <v>2828</v>
      </c>
      <c r="B2700" s="76">
        <v>65962</v>
      </c>
      <c r="C2700" s="81">
        <v>0</v>
      </c>
      <c r="D2700" s="82">
        <v>0</v>
      </c>
    </row>
    <row r="2701" spans="1:4">
      <c r="A2701" s="78" t="s">
        <v>2829</v>
      </c>
      <c r="B2701" s="76">
        <v>65965</v>
      </c>
      <c r="C2701" s="81">
        <v>0</v>
      </c>
      <c r="D2701" s="82">
        <v>0</v>
      </c>
    </row>
    <row r="2702" spans="1:4" ht="42.75">
      <c r="A2702" s="78" t="s">
        <v>2830</v>
      </c>
      <c r="B2702" s="76">
        <v>65970</v>
      </c>
      <c r="C2702" s="81">
        <v>0</v>
      </c>
      <c r="D2702" s="82">
        <v>0</v>
      </c>
    </row>
    <row r="2703" spans="1:4">
      <c r="A2703" s="78" t="s">
        <v>2831</v>
      </c>
      <c r="B2703" s="76">
        <v>65972</v>
      </c>
      <c r="C2703" s="81">
        <v>0</v>
      </c>
      <c r="D2703" s="82">
        <v>0</v>
      </c>
    </row>
    <row r="2704" spans="1:4" ht="28.5">
      <c r="A2704" s="78" t="s">
        <v>2832</v>
      </c>
      <c r="B2704" s="76">
        <v>65990</v>
      </c>
      <c r="C2704" s="81">
        <v>0</v>
      </c>
      <c r="D2704" s="82">
        <v>0</v>
      </c>
    </row>
    <row r="2705" spans="1:4" ht="57">
      <c r="A2705" s="78" t="s">
        <v>2833</v>
      </c>
      <c r="B2705" s="76">
        <v>66023</v>
      </c>
      <c r="C2705" s="81">
        <v>0</v>
      </c>
      <c r="D2705" s="82">
        <v>0</v>
      </c>
    </row>
    <row r="2706" spans="1:4">
      <c r="A2706" s="78" t="s">
        <v>2834</v>
      </c>
      <c r="B2706" s="76">
        <v>66035</v>
      </c>
      <c r="C2706" s="81">
        <v>0</v>
      </c>
      <c r="D2706" s="82">
        <v>0</v>
      </c>
    </row>
    <row r="2707" spans="1:4">
      <c r="A2707" s="78" t="s">
        <v>2835</v>
      </c>
      <c r="B2707" s="76">
        <v>66039</v>
      </c>
      <c r="C2707" s="81">
        <v>0</v>
      </c>
      <c r="D2707" s="82">
        <v>0</v>
      </c>
    </row>
    <row r="2708" spans="1:4" ht="28.5">
      <c r="A2708" s="78" t="s">
        <v>2836</v>
      </c>
      <c r="B2708" s="76">
        <v>66088</v>
      </c>
      <c r="C2708" s="81">
        <v>0</v>
      </c>
      <c r="D2708" s="82">
        <v>0</v>
      </c>
    </row>
    <row r="2709" spans="1:4">
      <c r="A2709" s="78" t="s">
        <v>2837</v>
      </c>
      <c r="B2709" s="76">
        <v>59171</v>
      </c>
      <c r="C2709" s="81">
        <v>0</v>
      </c>
      <c r="D2709" s="82">
        <v>0</v>
      </c>
    </row>
    <row r="2710" spans="1:4" ht="28.5">
      <c r="A2710" s="78" t="s">
        <v>2838</v>
      </c>
      <c r="B2710" s="76">
        <v>66095</v>
      </c>
      <c r="C2710" s="81">
        <v>0</v>
      </c>
      <c r="D2710" s="82">
        <v>0</v>
      </c>
    </row>
    <row r="2711" spans="1:4">
      <c r="A2711" s="78" t="s">
        <v>2839</v>
      </c>
      <c r="B2711" s="76">
        <v>66098</v>
      </c>
      <c r="C2711" s="81">
        <v>0</v>
      </c>
      <c r="D2711" s="82">
        <v>0</v>
      </c>
    </row>
    <row r="2712" spans="1:4">
      <c r="A2712" s="78" t="s">
        <v>2840</v>
      </c>
      <c r="B2712" s="76">
        <v>66099</v>
      </c>
      <c r="C2712" s="81">
        <v>0</v>
      </c>
      <c r="D2712" s="82">
        <v>0</v>
      </c>
    </row>
    <row r="2713" spans="1:4" ht="28.5">
      <c r="A2713" s="78" t="s">
        <v>2841</v>
      </c>
      <c r="B2713" s="76">
        <v>66110</v>
      </c>
      <c r="C2713" s="81">
        <v>0</v>
      </c>
      <c r="D2713" s="82">
        <v>0</v>
      </c>
    </row>
    <row r="2714" spans="1:4" ht="28.5">
      <c r="A2714" s="78" t="s">
        <v>2842</v>
      </c>
      <c r="B2714" s="76">
        <v>66125</v>
      </c>
      <c r="C2714" s="81">
        <v>0</v>
      </c>
      <c r="D2714" s="82">
        <v>0</v>
      </c>
    </row>
    <row r="2715" spans="1:4" ht="28.5">
      <c r="A2715" s="78" t="s">
        <v>2843</v>
      </c>
      <c r="B2715" s="76">
        <v>66141</v>
      </c>
      <c r="C2715" s="81">
        <v>0</v>
      </c>
      <c r="D2715" s="82">
        <v>0</v>
      </c>
    </row>
    <row r="2716" spans="1:4">
      <c r="A2716" s="78" t="s">
        <v>2844</v>
      </c>
      <c r="B2716" s="76">
        <v>66144</v>
      </c>
      <c r="C2716" s="81">
        <v>0</v>
      </c>
      <c r="D2716" s="82">
        <v>0</v>
      </c>
    </row>
    <row r="2717" spans="1:4">
      <c r="A2717" s="78" t="s">
        <v>2845</v>
      </c>
      <c r="B2717" s="76">
        <v>66147</v>
      </c>
      <c r="C2717" s="81">
        <v>0</v>
      </c>
      <c r="D2717" s="82">
        <v>0</v>
      </c>
    </row>
    <row r="2718" spans="1:4" ht="28.5">
      <c r="A2718" s="78" t="s">
        <v>2846</v>
      </c>
      <c r="B2718" s="76">
        <v>66163</v>
      </c>
      <c r="C2718" s="81">
        <v>0</v>
      </c>
      <c r="D2718" s="82">
        <v>0</v>
      </c>
    </row>
    <row r="2719" spans="1:4" ht="28.5">
      <c r="A2719" s="78" t="s">
        <v>2847</v>
      </c>
      <c r="B2719" s="76">
        <v>66169</v>
      </c>
      <c r="C2719" s="81">
        <v>0</v>
      </c>
      <c r="D2719" s="82">
        <v>0</v>
      </c>
    </row>
    <row r="2720" spans="1:4" ht="28.5">
      <c r="A2720" s="78" t="s">
        <v>2848</v>
      </c>
      <c r="B2720" s="76">
        <v>66183</v>
      </c>
      <c r="C2720" s="81">
        <v>0</v>
      </c>
      <c r="D2720" s="82">
        <v>0</v>
      </c>
    </row>
    <row r="2721" spans="1:4">
      <c r="A2721" s="78" t="s">
        <v>2849</v>
      </c>
      <c r="B2721" s="76">
        <v>66184</v>
      </c>
      <c r="C2721" s="81">
        <v>0</v>
      </c>
      <c r="D2721" s="82">
        <v>0</v>
      </c>
    </row>
    <row r="2722" spans="1:4">
      <c r="A2722" s="78" t="s">
        <v>2850</v>
      </c>
      <c r="B2722" s="76">
        <v>66188</v>
      </c>
      <c r="C2722" s="81">
        <v>0</v>
      </c>
      <c r="D2722" s="82">
        <v>0</v>
      </c>
    </row>
    <row r="2723" spans="1:4">
      <c r="A2723" s="78" t="s">
        <v>2851</v>
      </c>
      <c r="B2723" s="76">
        <v>66189</v>
      </c>
      <c r="C2723" s="81">
        <v>0</v>
      </c>
      <c r="D2723" s="82">
        <v>0</v>
      </c>
    </row>
    <row r="2724" spans="1:4" ht="42.75">
      <c r="A2724" s="78" t="s">
        <v>2852</v>
      </c>
      <c r="B2724" s="76">
        <v>66242</v>
      </c>
      <c r="C2724" s="81">
        <v>0</v>
      </c>
      <c r="D2724" s="82">
        <v>0</v>
      </c>
    </row>
    <row r="2725" spans="1:4" ht="28.5">
      <c r="A2725" s="78" t="s">
        <v>2853</v>
      </c>
      <c r="B2725" s="76">
        <v>66247</v>
      </c>
      <c r="C2725" s="81">
        <v>0</v>
      </c>
      <c r="D2725" s="82">
        <v>0</v>
      </c>
    </row>
    <row r="2726" spans="1:4" ht="28.5">
      <c r="A2726" s="78" t="s">
        <v>2854</v>
      </c>
      <c r="B2726" s="76">
        <v>66263</v>
      </c>
      <c r="C2726" s="81">
        <v>0</v>
      </c>
      <c r="D2726" s="82">
        <v>0</v>
      </c>
    </row>
    <row r="2727" spans="1:4">
      <c r="A2727" s="78" t="s">
        <v>2855</v>
      </c>
      <c r="B2727" s="76">
        <v>66267</v>
      </c>
      <c r="C2727" s="81">
        <v>0</v>
      </c>
      <c r="D2727" s="82">
        <v>0</v>
      </c>
    </row>
    <row r="2728" spans="1:4">
      <c r="A2728" s="78" t="s">
        <v>2856</v>
      </c>
      <c r="B2728" s="76">
        <v>66270</v>
      </c>
      <c r="C2728" s="81">
        <v>0</v>
      </c>
      <c r="D2728" s="82">
        <v>0</v>
      </c>
    </row>
    <row r="2729" spans="1:4" ht="28.5">
      <c r="A2729" s="78" t="s">
        <v>2857</v>
      </c>
      <c r="B2729" s="76">
        <v>66271</v>
      </c>
      <c r="C2729" s="81">
        <v>0</v>
      </c>
      <c r="D2729" s="82">
        <v>0</v>
      </c>
    </row>
    <row r="2730" spans="1:4" ht="28.5">
      <c r="A2730" s="78" t="s">
        <v>2858</v>
      </c>
      <c r="B2730" s="76">
        <v>66287</v>
      </c>
      <c r="C2730" s="81">
        <v>0</v>
      </c>
      <c r="D2730" s="82">
        <v>0</v>
      </c>
    </row>
    <row r="2731" spans="1:4" ht="28.5">
      <c r="A2731" s="78" t="s">
        <v>2859</v>
      </c>
      <c r="B2731" s="76">
        <v>66331</v>
      </c>
      <c r="C2731" s="81">
        <v>0</v>
      </c>
      <c r="D2731" s="82">
        <v>0</v>
      </c>
    </row>
    <row r="2732" spans="1:4">
      <c r="A2732" s="78" t="s">
        <v>2860</v>
      </c>
      <c r="B2732" s="76">
        <v>66332</v>
      </c>
      <c r="C2732" s="81">
        <v>0</v>
      </c>
      <c r="D2732" s="82">
        <v>0</v>
      </c>
    </row>
    <row r="2733" spans="1:4" ht="28.5">
      <c r="A2733" s="78" t="s">
        <v>2861</v>
      </c>
      <c r="B2733" s="76">
        <v>66349</v>
      </c>
      <c r="C2733" s="81">
        <v>0</v>
      </c>
      <c r="D2733" s="82">
        <v>0</v>
      </c>
    </row>
    <row r="2734" spans="1:4" ht="28.5">
      <c r="A2734" s="78" t="s">
        <v>2862</v>
      </c>
      <c r="B2734" s="76">
        <v>66351</v>
      </c>
      <c r="C2734" s="81">
        <v>0</v>
      </c>
      <c r="D2734" s="82">
        <v>0</v>
      </c>
    </row>
    <row r="2735" spans="1:4" ht="28.5">
      <c r="A2735" s="78" t="s">
        <v>2863</v>
      </c>
      <c r="B2735" s="76">
        <v>66354</v>
      </c>
      <c r="C2735" s="81">
        <v>0</v>
      </c>
      <c r="D2735" s="82">
        <v>0</v>
      </c>
    </row>
    <row r="2736" spans="1:4" ht="28.5">
      <c r="A2736" s="78" t="s">
        <v>2864</v>
      </c>
      <c r="B2736" s="76">
        <v>66355</v>
      </c>
      <c r="C2736" s="81">
        <v>0</v>
      </c>
      <c r="D2736" s="82">
        <v>0</v>
      </c>
    </row>
    <row r="2737" spans="1:4">
      <c r="A2737" s="78" t="s">
        <v>2865</v>
      </c>
      <c r="B2737" s="76">
        <v>66357</v>
      </c>
      <c r="C2737" s="81">
        <v>0</v>
      </c>
      <c r="D2737" s="82">
        <v>0</v>
      </c>
    </row>
    <row r="2738" spans="1:4" ht="28.5">
      <c r="A2738" s="78" t="s">
        <v>2866</v>
      </c>
      <c r="B2738" s="76">
        <v>66368</v>
      </c>
      <c r="C2738" s="81">
        <v>0</v>
      </c>
      <c r="D2738" s="82">
        <v>0</v>
      </c>
    </row>
    <row r="2739" spans="1:4" ht="28.5">
      <c r="A2739" s="78" t="s">
        <v>2867</v>
      </c>
      <c r="B2739" s="76">
        <v>66378</v>
      </c>
      <c r="C2739" s="81">
        <v>0</v>
      </c>
      <c r="D2739" s="82">
        <v>0</v>
      </c>
    </row>
    <row r="2740" spans="1:4">
      <c r="A2740" s="78" t="s">
        <v>2868</v>
      </c>
      <c r="B2740" s="76">
        <v>66395</v>
      </c>
      <c r="C2740" s="81">
        <v>0</v>
      </c>
      <c r="D2740" s="82">
        <v>0</v>
      </c>
    </row>
    <row r="2741" spans="1:4" ht="28.5">
      <c r="A2741" s="78" t="s">
        <v>2869</v>
      </c>
      <c r="B2741" s="76">
        <v>66404</v>
      </c>
      <c r="C2741" s="81">
        <v>0</v>
      </c>
      <c r="D2741" s="82">
        <v>0</v>
      </c>
    </row>
    <row r="2742" spans="1:4" ht="28.5">
      <c r="A2742" s="78" t="s">
        <v>2870</v>
      </c>
      <c r="B2742" s="76">
        <v>66405</v>
      </c>
      <c r="C2742" s="81">
        <v>0</v>
      </c>
      <c r="D2742" s="82">
        <v>0</v>
      </c>
    </row>
    <row r="2743" spans="1:4">
      <c r="A2743" s="78" t="s">
        <v>2871</v>
      </c>
      <c r="B2743" s="76">
        <v>66406</v>
      </c>
      <c r="C2743" s="81">
        <v>0</v>
      </c>
      <c r="D2743" s="82">
        <v>0</v>
      </c>
    </row>
    <row r="2744" spans="1:4" ht="28.5">
      <c r="A2744" s="78" t="s">
        <v>2872</v>
      </c>
      <c r="B2744" s="76">
        <v>66408</v>
      </c>
      <c r="C2744" s="81">
        <v>0</v>
      </c>
      <c r="D2744" s="82">
        <v>0</v>
      </c>
    </row>
    <row r="2745" spans="1:4" ht="28.5">
      <c r="A2745" s="78" t="s">
        <v>2873</v>
      </c>
      <c r="B2745" s="76">
        <v>66413</v>
      </c>
      <c r="C2745" s="81">
        <v>0</v>
      </c>
      <c r="D2745" s="82">
        <v>0</v>
      </c>
    </row>
    <row r="2746" spans="1:4" ht="28.5">
      <c r="A2746" s="78" t="s">
        <v>2874</v>
      </c>
      <c r="B2746" s="76">
        <v>66432</v>
      </c>
      <c r="C2746" s="81">
        <v>0</v>
      </c>
      <c r="D2746" s="82">
        <v>0</v>
      </c>
    </row>
    <row r="2747" spans="1:4" ht="28.5">
      <c r="A2747" s="78" t="s">
        <v>2875</v>
      </c>
      <c r="B2747" s="76">
        <v>66436</v>
      </c>
      <c r="C2747" s="81">
        <v>0</v>
      </c>
      <c r="D2747" s="82">
        <v>0</v>
      </c>
    </row>
    <row r="2748" spans="1:4" ht="28.5">
      <c r="A2748" s="78" t="s">
        <v>2876</v>
      </c>
      <c r="B2748" s="76">
        <v>66466</v>
      </c>
      <c r="C2748" s="81">
        <v>0</v>
      </c>
      <c r="D2748" s="82">
        <v>0</v>
      </c>
    </row>
    <row r="2749" spans="1:4" ht="28.5">
      <c r="A2749" s="78" t="s">
        <v>2877</v>
      </c>
      <c r="B2749" s="76">
        <v>66468</v>
      </c>
      <c r="C2749" s="81">
        <v>0</v>
      </c>
      <c r="D2749" s="82">
        <v>0</v>
      </c>
    </row>
    <row r="2750" spans="1:4" ht="28.5">
      <c r="A2750" s="78" t="s">
        <v>2878</v>
      </c>
      <c r="B2750" s="76">
        <v>66469</v>
      </c>
      <c r="C2750" s="81">
        <v>0</v>
      </c>
      <c r="D2750" s="82">
        <v>0</v>
      </c>
    </row>
    <row r="2751" spans="1:4" ht="28.5">
      <c r="A2751" s="78" t="s">
        <v>2879</v>
      </c>
      <c r="B2751" s="76">
        <v>66470</v>
      </c>
      <c r="C2751" s="81">
        <v>0</v>
      </c>
      <c r="D2751" s="82">
        <v>0</v>
      </c>
    </row>
    <row r="2752" spans="1:4" ht="42.75">
      <c r="A2752" s="78" t="s">
        <v>2880</v>
      </c>
      <c r="B2752" s="76">
        <v>66476</v>
      </c>
      <c r="C2752" s="81">
        <v>0</v>
      </c>
      <c r="D2752" s="82">
        <v>0</v>
      </c>
    </row>
    <row r="2753" spans="1:4">
      <c r="A2753" s="78" t="s">
        <v>2881</v>
      </c>
      <c r="B2753" s="76">
        <v>66492</v>
      </c>
      <c r="C2753" s="81">
        <v>0</v>
      </c>
      <c r="D2753" s="82">
        <v>0</v>
      </c>
    </row>
    <row r="2754" spans="1:4" ht="28.5">
      <c r="A2754" s="78" t="s">
        <v>2882</v>
      </c>
      <c r="B2754" s="76">
        <v>66506</v>
      </c>
      <c r="C2754" s="81">
        <v>0</v>
      </c>
      <c r="D2754" s="82">
        <v>0</v>
      </c>
    </row>
    <row r="2755" spans="1:4" ht="28.5">
      <c r="A2755" s="78" t="s">
        <v>2883</v>
      </c>
      <c r="B2755" s="76">
        <v>66509</v>
      </c>
      <c r="C2755" s="81">
        <v>0</v>
      </c>
      <c r="D2755" s="82">
        <v>0</v>
      </c>
    </row>
    <row r="2756" spans="1:4" ht="28.5">
      <c r="A2756" s="78" t="s">
        <v>2884</v>
      </c>
      <c r="B2756" s="76">
        <v>66532</v>
      </c>
      <c r="C2756" s="81">
        <v>0</v>
      </c>
      <c r="D2756" s="82">
        <v>0</v>
      </c>
    </row>
    <row r="2757" spans="1:4" ht="28.5">
      <c r="A2757" s="78" t="s">
        <v>2885</v>
      </c>
      <c r="B2757" s="76">
        <v>66533</v>
      </c>
      <c r="C2757" s="81">
        <v>0</v>
      </c>
      <c r="D2757" s="82">
        <v>0</v>
      </c>
    </row>
    <row r="2758" spans="1:4" ht="28.5">
      <c r="A2758" s="78" t="s">
        <v>2886</v>
      </c>
      <c r="B2758" s="76">
        <v>66569</v>
      </c>
      <c r="C2758" s="81">
        <v>0</v>
      </c>
      <c r="D2758" s="82">
        <v>0</v>
      </c>
    </row>
    <row r="2759" spans="1:4">
      <c r="A2759" s="78" t="s">
        <v>2887</v>
      </c>
      <c r="B2759" s="76">
        <v>66574</v>
      </c>
      <c r="C2759" s="81">
        <v>0</v>
      </c>
      <c r="D2759" s="82">
        <v>0</v>
      </c>
    </row>
    <row r="2760" spans="1:4" ht="28.5">
      <c r="A2760" s="78" t="s">
        <v>2888</v>
      </c>
      <c r="B2760" s="76">
        <v>66598</v>
      </c>
      <c r="C2760" s="81">
        <v>0</v>
      </c>
      <c r="D2760" s="82">
        <v>0</v>
      </c>
    </row>
    <row r="2761" spans="1:4">
      <c r="A2761" s="78" t="s">
        <v>2889</v>
      </c>
      <c r="B2761" s="76">
        <v>66603</v>
      </c>
      <c r="C2761" s="81">
        <v>0</v>
      </c>
      <c r="D2761" s="82">
        <v>0</v>
      </c>
    </row>
    <row r="2762" spans="1:4" ht="28.5">
      <c r="A2762" s="78" t="s">
        <v>2890</v>
      </c>
      <c r="B2762" s="76">
        <v>66620</v>
      </c>
      <c r="C2762" s="81">
        <v>0</v>
      </c>
      <c r="D2762" s="82">
        <v>0</v>
      </c>
    </row>
    <row r="2763" spans="1:4" ht="28.5">
      <c r="A2763" s="78" t="s">
        <v>2891</v>
      </c>
      <c r="B2763" s="76">
        <v>66622</v>
      </c>
      <c r="C2763" s="81">
        <v>0</v>
      </c>
      <c r="D2763" s="82">
        <v>0</v>
      </c>
    </row>
    <row r="2764" spans="1:4" ht="28.5">
      <c r="A2764" s="78" t="s">
        <v>2892</v>
      </c>
      <c r="B2764" s="76">
        <v>66627</v>
      </c>
      <c r="C2764" s="81">
        <v>0</v>
      </c>
      <c r="D2764" s="82">
        <v>0</v>
      </c>
    </row>
    <row r="2765" spans="1:4" ht="28.5">
      <c r="A2765" s="78" t="s">
        <v>2893</v>
      </c>
      <c r="B2765" s="76">
        <v>66636</v>
      </c>
      <c r="C2765" s="81">
        <v>0</v>
      </c>
      <c r="D2765" s="82">
        <v>0</v>
      </c>
    </row>
    <row r="2766" spans="1:4" ht="28.5">
      <c r="A2766" s="78" t="s">
        <v>2894</v>
      </c>
      <c r="B2766" s="76">
        <v>66637</v>
      </c>
      <c r="C2766" s="81">
        <v>0</v>
      </c>
      <c r="D2766" s="82">
        <v>0</v>
      </c>
    </row>
    <row r="2767" spans="1:4" ht="28.5">
      <c r="A2767" s="78" t="s">
        <v>2895</v>
      </c>
      <c r="B2767" s="76">
        <v>66667</v>
      </c>
      <c r="C2767" s="81">
        <v>0</v>
      </c>
      <c r="D2767" s="82">
        <v>0</v>
      </c>
    </row>
    <row r="2768" spans="1:4">
      <c r="A2768" s="78" t="s">
        <v>2896</v>
      </c>
      <c r="B2768" s="76">
        <v>66677</v>
      </c>
      <c r="C2768" s="81">
        <v>0</v>
      </c>
      <c r="D2768" s="82">
        <v>0</v>
      </c>
    </row>
    <row r="2769" spans="1:4">
      <c r="A2769" s="78" t="s">
        <v>2897</v>
      </c>
      <c r="B2769" s="76">
        <v>66679</v>
      </c>
      <c r="C2769" s="81">
        <v>0</v>
      </c>
      <c r="D2769" s="82">
        <v>0</v>
      </c>
    </row>
    <row r="2770" spans="1:4" ht="28.5">
      <c r="A2770" s="78" t="s">
        <v>2898</v>
      </c>
      <c r="B2770" s="76">
        <v>66699</v>
      </c>
      <c r="C2770" s="81">
        <v>0</v>
      </c>
      <c r="D2770" s="82">
        <v>0</v>
      </c>
    </row>
    <row r="2771" spans="1:4">
      <c r="A2771" s="78" t="s">
        <v>2899</v>
      </c>
      <c r="B2771" s="76">
        <v>66713</v>
      </c>
      <c r="C2771" s="81">
        <v>0</v>
      </c>
      <c r="D2771" s="82">
        <v>0</v>
      </c>
    </row>
    <row r="2772" spans="1:4" ht="28.5">
      <c r="A2772" s="78" t="s">
        <v>2900</v>
      </c>
      <c r="B2772" s="76">
        <v>66714</v>
      </c>
      <c r="C2772" s="81">
        <v>0</v>
      </c>
      <c r="D2772" s="82">
        <v>0</v>
      </c>
    </row>
    <row r="2773" spans="1:4" ht="28.5">
      <c r="A2773" s="78" t="s">
        <v>2901</v>
      </c>
      <c r="B2773" s="76">
        <v>66715</v>
      </c>
      <c r="C2773" s="81">
        <v>0</v>
      </c>
      <c r="D2773" s="82">
        <v>0</v>
      </c>
    </row>
    <row r="2774" spans="1:4">
      <c r="A2774" s="78" t="s">
        <v>2902</v>
      </c>
      <c r="B2774" s="76">
        <v>66733</v>
      </c>
      <c r="C2774" s="81">
        <v>0</v>
      </c>
      <c r="D2774" s="82">
        <v>0</v>
      </c>
    </row>
    <row r="2775" spans="1:4" ht="28.5">
      <c r="A2775" s="78" t="s">
        <v>2903</v>
      </c>
      <c r="B2775" s="76">
        <v>66772</v>
      </c>
      <c r="C2775" s="81">
        <v>0</v>
      </c>
      <c r="D2775" s="82">
        <v>0</v>
      </c>
    </row>
    <row r="2776" spans="1:4" ht="28.5">
      <c r="A2776" s="78" t="s">
        <v>2904</v>
      </c>
      <c r="B2776" s="76">
        <v>66773</v>
      </c>
      <c r="C2776" s="81">
        <v>0</v>
      </c>
      <c r="D2776" s="82">
        <v>0</v>
      </c>
    </row>
    <row r="2777" spans="1:4" ht="28.5">
      <c r="A2777" s="78" t="s">
        <v>2905</v>
      </c>
      <c r="B2777" s="76">
        <v>66797</v>
      </c>
      <c r="C2777" s="81">
        <v>0</v>
      </c>
      <c r="D2777" s="82">
        <v>0</v>
      </c>
    </row>
    <row r="2778" spans="1:4" ht="28.5">
      <c r="A2778" s="78" t="s">
        <v>2906</v>
      </c>
      <c r="B2778" s="76">
        <v>66799</v>
      </c>
      <c r="C2778" s="81">
        <v>0</v>
      </c>
      <c r="D2778" s="82">
        <v>0</v>
      </c>
    </row>
    <row r="2779" spans="1:4" ht="28.5">
      <c r="A2779" s="78" t="s">
        <v>2907</v>
      </c>
      <c r="B2779" s="76">
        <v>66800</v>
      </c>
      <c r="C2779" s="81">
        <v>0</v>
      </c>
      <c r="D2779" s="82">
        <v>0</v>
      </c>
    </row>
    <row r="2780" spans="1:4" ht="28.5">
      <c r="A2780" s="78" t="s">
        <v>2908</v>
      </c>
      <c r="B2780" s="76">
        <v>66806</v>
      </c>
      <c r="C2780" s="81">
        <v>0</v>
      </c>
      <c r="D2780" s="82">
        <v>0</v>
      </c>
    </row>
    <row r="2781" spans="1:4" ht="28.5">
      <c r="A2781" s="78" t="s">
        <v>2909</v>
      </c>
      <c r="B2781" s="76">
        <v>66807</v>
      </c>
      <c r="C2781" s="81">
        <v>0</v>
      </c>
      <c r="D2781" s="82">
        <v>0</v>
      </c>
    </row>
    <row r="2782" spans="1:4">
      <c r="A2782" s="78" t="s">
        <v>2910</v>
      </c>
      <c r="B2782" s="76">
        <v>66809</v>
      </c>
      <c r="C2782" s="81">
        <v>0</v>
      </c>
      <c r="D2782" s="82">
        <v>0</v>
      </c>
    </row>
    <row r="2783" spans="1:4">
      <c r="A2783" s="78" t="s">
        <v>2911</v>
      </c>
      <c r="B2783" s="76">
        <v>66814</v>
      </c>
      <c r="C2783" s="81">
        <v>0</v>
      </c>
      <c r="D2783" s="82">
        <v>0</v>
      </c>
    </row>
    <row r="2784" spans="1:4">
      <c r="A2784" s="78" t="s">
        <v>2912</v>
      </c>
      <c r="B2784" s="76">
        <v>66863</v>
      </c>
      <c r="C2784" s="81">
        <v>0</v>
      </c>
      <c r="D2784" s="82">
        <v>0</v>
      </c>
    </row>
    <row r="2785" spans="1:4" ht="42.75">
      <c r="A2785" s="78" t="s">
        <v>2913</v>
      </c>
      <c r="B2785" s="76">
        <v>66885</v>
      </c>
      <c r="C2785" s="81">
        <v>0</v>
      </c>
      <c r="D2785" s="82">
        <v>0</v>
      </c>
    </row>
    <row r="2786" spans="1:4">
      <c r="A2786" s="78" t="s">
        <v>2914</v>
      </c>
      <c r="B2786" s="76">
        <v>66888</v>
      </c>
      <c r="C2786" s="81">
        <v>0</v>
      </c>
      <c r="D2786" s="82">
        <v>0</v>
      </c>
    </row>
    <row r="2787" spans="1:4">
      <c r="A2787" s="78" t="s">
        <v>2915</v>
      </c>
      <c r="B2787" s="76">
        <v>66925</v>
      </c>
      <c r="C2787" s="81">
        <v>0</v>
      </c>
      <c r="D2787" s="82">
        <v>0</v>
      </c>
    </row>
    <row r="2788" spans="1:4">
      <c r="A2788" s="78" t="s">
        <v>2916</v>
      </c>
      <c r="B2788" s="76">
        <v>66942</v>
      </c>
      <c r="C2788" s="81">
        <v>0</v>
      </c>
      <c r="D2788" s="82">
        <v>0</v>
      </c>
    </row>
    <row r="2789" spans="1:4" ht="28.5">
      <c r="A2789" s="78" t="s">
        <v>2917</v>
      </c>
      <c r="B2789" s="76">
        <v>66945</v>
      </c>
      <c r="C2789" s="81">
        <v>0</v>
      </c>
      <c r="D2789" s="82">
        <v>0</v>
      </c>
    </row>
    <row r="2790" spans="1:4" ht="28.5">
      <c r="A2790" s="78" t="s">
        <v>2918</v>
      </c>
      <c r="B2790" s="76">
        <v>66948</v>
      </c>
      <c r="C2790" s="81">
        <v>0</v>
      </c>
      <c r="D2790" s="82">
        <v>0</v>
      </c>
    </row>
    <row r="2791" spans="1:4">
      <c r="A2791" s="78" t="s">
        <v>2919</v>
      </c>
      <c r="B2791" s="76">
        <v>66951</v>
      </c>
      <c r="C2791" s="81">
        <v>0</v>
      </c>
      <c r="D2791" s="82">
        <v>0</v>
      </c>
    </row>
    <row r="2792" spans="1:4">
      <c r="A2792" s="78" t="s">
        <v>2920</v>
      </c>
      <c r="B2792" s="76">
        <v>66983</v>
      </c>
      <c r="C2792" s="81">
        <v>0</v>
      </c>
      <c r="D2792" s="82">
        <v>0</v>
      </c>
    </row>
    <row r="2793" spans="1:4" ht="28.5">
      <c r="A2793" s="78" t="s">
        <v>2921</v>
      </c>
      <c r="B2793" s="76">
        <v>67000</v>
      </c>
      <c r="C2793" s="81">
        <v>0</v>
      </c>
      <c r="D2793" s="82">
        <v>0</v>
      </c>
    </row>
    <row r="2794" spans="1:4" ht="28.5">
      <c r="A2794" s="78" t="s">
        <v>2922</v>
      </c>
      <c r="B2794" s="76">
        <v>67001</v>
      </c>
      <c r="C2794" s="81">
        <v>0</v>
      </c>
      <c r="D2794" s="82">
        <v>0</v>
      </c>
    </row>
    <row r="2795" spans="1:4" ht="42.75">
      <c r="A2795" s="78" t="s">
        <v>2923</v>
      </c>
      <c r="B2795" s="76">
        <v>67026</v>
      </c>
      <c r="C2795" s="81">
        <v>0</v>
      </c>
      <c r="D2795" s="82">
        <v>0</v>
      </c>
    </row>
    <row r="2796" spans="1:4">
      <c r="A2796" s="78" t="s">
        <v>2924</v>
      </c>
      <c r="B2796" s="76">
        <v>67030</v>
      </c>
      <c r="C2796" s="81">
        <v>0</v>
      </c>
      <c r="D2796" s="82">
        <v>0</v>
      </c>
    </row>
    <row r="2797" spans="1:4">
      <c r="A2797" s="78" t="s">
        <v>2925</v>
      </c>
      <c r="B2797" s="76">
        <v>67069</v>
      </c>
      <c r="C2797" s="81">
        <v>0</v>
      </c>
      <c r="D2797" s="82">
        <v>0</v>
      </c>
    </row>
    <row r="2798" spans="1:4" ht="28.5">
      <c r="A2798" s="78" t="s">
        <v>2926</v>
      </c>
      <c r="B2798" s="76">
        <v>67073</v>
      </c>
      <c r="C2798" s="81">
        <v>0</v>
      </c>
      <c r="D2798" s="82">
        <v>0</v>
      </c>
    </row>
    <row r="2799" spans="1:4">
      <c r="A2799" s="78" t="s">
        <v>2927</v>
      </c>
      <c r="B2799" s="76">
        <v>67091</v>
      </c>
      <c r="C2799" s="81">
        <v>0</v>
      </c>
      <c r="D2799" s="82">
        <v>0</v>
      </c>
    </row>
    <row r="2800" spans="1:4">
      <c r="A2800" s="78" t="s">
        <v>2928</v>
      </c>
      <c r="B2800" s="76">
        <v>67092</v>
      </c>
      <c r="C2800" s="81">
        <v>0</v>
      </c>
      <c r="D2800" s="82">
        <v>0</v>
      </c>
    </row>
    <row r="2801" spans="1:4" ht="28.5">
      <c r="A2801" s="78" t="s">
        <v>2929</v>
      </c>
      <c r="B2801" s="76">
        <v>67147</v>
      </c>
      <c r="C2801" s="81">
        <v>0</v>
      </c>
      <c r="D2801" s="82">
        <v>0</v>
      </c>
    </row>
    <row r="2802" spans="1:4">
      <c r="A2802" s="78" t="s">
        <v>2930</v>
      </c>
      <c r="B2802" s="76">
        <v>67160</v>
      </c>
      <c r="C2802" s="81">
        <v>0</v>
      </c>
      <c r="D2802" s="82">
        <v>0</v>
      </c>
    </row>
    <row r="2803" spans="1:4" ht="28.5">
      <c r="A2803" s="78" t="s">
        <v>2931</v>
      </c>
      <c r="B2803" s="76">
        <v>67170</v>
      </c>
      <c r="C2803" s="81">
        <v>0</v>
      </c>
      <c r="D2803" s="82">
        <v>0</v>
      </c>
    </row>
    <row r="2804" spans="1:4" ht="28.5">
      <c r="A2804" s="78" t="s">
        <v>2932</v>
      </c>
      <c r="B2804" s="76">
        <v>67178</v>
      </c>
      <c r="C2804" s="81">
        <v>0</v>
      </c>
      <c r="D2804" s="82">
        <v>0</v>
      </c>
    </row>
    <row r="2805" spans="1:4">
      <c r="A2805" s="78" t="s">
        <v>2933</v>
      </c>
      <c r="B2805" s="76">
        <v>67179</v>
      </c>
      <c r="C2805" s="81">
        <v>0</v>
      </c>
      <c r="D2805" s="82">
        <v>0</v>
      </c>
    </row>
    <row r="2806" spans="1:4" ht="28.5">
      <c r="A2806" s="78" t="s">
        <v>2934</v>
      </c>
      <c r="B2806" s="76">
        <v>67190</v>
      </c>
      <c r="C2806" s="81">
        <v>0</v>
      </c>
      <c r="D2806" s="82">
        <v>0</v>
      </c>
    </row>
    <row r="2807" spans="1:4">
      <c r="A2807" s="78" t="s">
        <v>2935</v>
      </c>
      <c r="B2807" s="76">
        <v>67201</v>
      </c>
      <c r="C2807" s="81">
        <v>0</v>
      </c>
      <c r="D2807" s="82">
        <v>0</v>
      </c>
    </row>
    <row r="2808" spans="1:4">
      <c r="A2808" s="78" t="s">
        <v>2936</v>
      </c>
      <c r="B2808" s="76">
        <v>67238</v>
      </c>
      <c r="C2808" s="81">
        <v>0</v>
      </c>
      <c r="D2808" s="82">
        <v>0</v>
      </c>
    </row>
    <row r="2809" spans="1:4" ht="28.5">
      <c r="A2809" s="78" t="s">
        <v>2937</v>
      </c>
      <c r="B2809" s="76">
        <v>67247</v>
      </c>
      <c r="C2809" s="81">
        <v>0</v>
      </c>
      <c r="D2809" s="82">
        <v>0</v>
      </c>
    </row>
    <row r="2810" spans="1:4" ht="28.5">
      <c r="A2810" s="78" t="s">
        <v>2938</v>
      </c>
      <c r="B2810" s="76">
        <v>67261</v>
      </c>
      <c r="C2810" s="81">
        <v>0</v>
      </c>
      <c r="D2810" s="82">
        <v>0</v>
      </c>
    </row>
    <row r="2811" spans="1:4" ht="42.75">
      <c r="A2811" s="78" t="s">
        <v>2939</v>
      </c>
      <c r="B2811" s="76">
        <v>67365</v>
      </c>
      <c r="C2811" s="81">
        <v>0</v>
      </c>
      <c r="D2811" s="82">
        <v>0</v>
      </c>
    </row>
    <row r="2812" spans="1:4" ht="28.5">
      <c r="A2812" s="78" t="s">
        <v>2940</v>
      </c>
      <c r="B2812" s="76">
        <v>67419</v>
      </c>
      <c r="C2812" s="81">
        <v>0</v>
      </c>
      <c r="D2812" s="82">
        <v>0</v>
      </c>
    </row>
    <row r="2813" spans="1:4" ht="28.5">
      <c r="A2813" s="78" t="s">
        <v>2941</v>
      </c>
      <c r="B2813" s="76">
        <v>67432</v>
      </c>
      <c r="C2813" s="81">
        <v>0</v>
      </c>
      <c r="D2813" s="82">
        <v>0</v>
      </c>
    </row>
    <row r="2814" spans="1:4">
      <c r="A2814" s="78" t="s">
        <v>2942</v>
      </c>
      <c r="B2814" s="76">
        <v>67441</v>
      </c>
      <c r="C2814" s="81">
        <v>0</v>
      </c>
      <c r="D2814" s="82">
        <v>0</v>
      </c>
    </row>
    <row r="2815" spans="1:4">
      <c r="A2815" s="78" t="s">
        <v>2943</v>
      </c>
      <c r="B2815" s="76">
        <v>67446</v>
      </c>
      <c r="C2815" s="81">
        <v>0</v>
      </c>
      <c r="D2815" s="82">
        <v>0</v>
      </c>
    </row>
    <row r="2816" spans="1:4" ht="28.5">
      <c r="A2816" s="78" t="s">
        <v>2944</v>
      </c>
      <c r="B2816" s="76">
        <v>67465</v>
      </c>
      <c r="C2816" s="81">
        <v>0</v>
      </c>
      <c r="D2816" s="82">
        <v>0</v>
      </c>
    </row>
    <row r="2817" spans="1:4" ht="28.5">
      <c r="A2817" s="78" t="s">
        <v>2945</v>
      </c>
      <c r="B2817" s="76">
        <v>67466</v>
      </c>
      <c r="C2817" s="81">
        <v>0</v>
      </c>
      <c r="D2817" s="82">
        <v>0</v>
      </c>
    </row>
    <row r="2818" spans="1:4" ht="28.5">
      <c r="A2818" s="78" t="s">
        <v>2946</v>
      </c>
      <c r="B2818" s="76">
        <v>67467</v>
      </c>
      <c r="C2818" s="81">
        <v>0</v>
      </c>
      <c r="D2818" s="82">
        <v>0</v>
      </c>
    </row>
    <row r="2819" spans="1:4" ht="28.5">
      <c r="A2819" s="78" t="s">
        <v>2947</v>
      </c>
      <c r="B2819" s="76">
        <v>67509</v>
      </c>
      <c r="C2819" s="81">
        <v>0</v>
      </c>
      <c r="D2819" s="82">
        <v>0</v>
      </c>
    </row>
    <row r="2820" spans="1:4">
      <c r="A2820" s="78" t="s">
        <v>2948</v>
      </c>
      <c r="B2820" s="76">
        <v>67512</v>
      </c>
      <c r="C2820" s="81">
        <v>0</v>
      </c>
      <c r="D2820" s="82">
        <v>0</v>
      </c>
    </row>
    <row r="2821" spans="1:4" ht="28.5">
      <c r="A2821" s="78" t="s">
        <v>2949</v>
      </c>
      <c r="B2821" s="76">
        <v>67516</v>
      </c>
      <c r="C2821" s="81">
        <v>0</v>
      </c>
      <c r="D2821" s="82">
        <v>0</v>
      </c>
    </row>
    <row r="2822" spans="1:4" ht="42.75">
      <c r="A2822" s="78" t="s">
        <v>2950</v>
      </c>
      <c r="B2822" s="76">
        <v>67533</v>
      </c>
      <c r="C2822" s="81">
        <v>0</v>
      </c>
      <c r="D2822" s="82">
        <v>0</v>
      </c>
    </row>
    <row r="2823" spans="1:4" ht="42.75">
      <c r="A2823" s="78" t="s">
        <v>2951</v>
      </c>
      <c r="B2823" s="76">
        <v>67534</v>
      </c>
      <c r="C2823" s="81">
        <v>0</v>
      </c>
      <c r="D2823" s="82">
        <v>0</v>
      </c>
    </row>
    <row r="2824" spans="1:4" ht="28.5">
      <c r="A2824" s="78" t="s">
        <v>2952</v>
      </c>
      <c r="B2824" s="76">
        <v>67602</v>
      </c>
      <c r="C2824" s="81">
        <v>0</v>
      </c>
      <c r="D2824" s="82">
        <v>0</v>
      </c>
    </row>
    <row r="2825" spans="1:4">
      <c r="A2825" s="78" t="s">
        <v>2953</v>
      </c>
      <c r="B2825" s="76">
        <v>67603</v>
      </c>
      <c r="C2825" s="81">
        <v>0</v>
      </c>
      <c r="D2825" s="82">
        <v>0</v>
      </c>
    </row>
    <row r="2826" spans="1:4" ht="28.5">
      <c r="A2826" s="78" t="s">
        <v>2954</v>
      </c>
      <c r="B2826" s="76">
        <v>67743</v>
      </c>
      <c r="C2826" s="81">
        <v>0</v>
      </c>
      <c r="D2826" s="82">
        <v>0</v>
      </c>
    </row>
    <row r="2827" spans="1:4" ht="28.5">
      <c r="A2827" s="78" t="s">
        <v>2955</v>
      </c>
      <c r="B2827" s="76">
        <v>67746</v>
      </c>
      <c r="C2827" s="81">
        <v>0</v>
      </c>
      <c r="D2827" s="82">
        <v>0</v>
      </c>
    </row>
    <row r="2828" spans="1:4" ht="28.5">
      <c r="A2828" s="78" t="s">
        <v>2956</v>
      </c>
      <c r="B2828" s="76">
        <v>67747</v>
      </c>
      <c r="C2828" s="81">
        <v>0</v>
      </c>
      <c r="D2828" s="82">
        <v>0</v>
      </c>
    </row>
    <row r="2829" spans="1:4">
      <c r="A2829" s="78" t="s">
        <v>2957</v>
      </c>
      <c r="B2829" s="76">
        <v>67748</v>
      </c>
      <c r="C2829" s="81">
        <v>0</v>
      </c>
      <c r="D2829" s="82">
        <v>0</v>
      </c>
    </row>
    <row r="2830" spans="1:4" ht="28.5">
      <c r="A2830" s="78" t="s">
        <v>2958</v>
      </c>
      <c r="B2830" s="76">
        <v>67750</v>
      </c>
      <c r="C2830" s="81">
        <v>0</v>
      </c>
      <c r="D2830" s="82">
        <v>0</v>
      </c>
    </row>
    <row r="2831" spans="1:4" ht="28.5">
      <c r="A2831" s="277" t="s">
        <v>4271</v>
      </c>
      <c r="B2831" s="278">
        <v>67764</v>
      </c>
      <c r="C2831" s="279">
        <v>0</v>
      </c>
      <c r="D2831" s="280">
        <v>0</v>
      </c>
    </row>
    <row r="2832" spans="1:4" ht="28.5">
      <c r="A2832" s="78" t="s">
        <v>2959</v>
      </c>
      <c r="B2832" s="76">
        <v>67793</v>
      </c>
      <c r="C2832" s="81">
        <v>0</v>
      </c>
      <c r="D2832" s="82">
        <v>0</v>
      </c>
    </row>
    <row r="2833" spans="1:4" ht="28.5">
      <c r="A2833" s="78" t="s">
        <v>2960</v>
      </c>
      <c r="B2833" s="76">
        <v>67794</v>
      </c>
      <c r="C2833" s="81">
        <v>0</v>
      </c>
      <c r="D2833" s="82">
        <v>0</v>
      </c>
    </row>
    <row r="2834" spans="1:4">
      <c r="A2834" s="78" t="s">
        <v>2961</v>
      </c>
      <c r="B2834" s="76">
        <v>67799</v>
      </c>
      <c r="C2834" s="81">
        <v>0</v>
      </c>
      <c r="D2834" s="82">
        <v>0</v>
      </c>
    </row>
    <row r="2835" spans="1:4" ht="28.5">
      <c r="A2835" s="78" t="s">
        <v>2962</v>
      </c>
      <c r="B2835" s="76">
        <v>67820</v>
      </c>
      <c r="C2835" s="81">
        <v>0</v>
      </c>
      <c r="D2835" s="82">
        <v>0</v>
      </c>
    </row>
    <row r="2836" spans="1:4">
      <c r="A2836" s="78" t="s">
        <v>2963</v>
      </c>
      <c r="B2836" s="76">
        <v>67821</v>
      </c>
      <c r="C2836" s="81">
        <v>0</v>
      </c>
      <c r="D2836" s="82">
        <v>0</v>
      </c>
    </row>
    <row r="2837" spans="1:4">
      <c r="A2837" s="78" t="s">
        <v>2964</v>
      </c>
      <c r="B2837" s="76">
        <v>67824</v>
      </c>
      <c r="C2837" s="81">
        <v>0</v>
      </c>
      <c r="D2837" s="82">
        <v>0</v>
      </c>
    </row>
    <row r="2838" spans="1:4">
      <c r="A2838" s="78" t="s">
        <v>2965</v>
      </c>
      <c r="B2838" s="76">
        <v>67825</v>
      </c>
      <c r="C2838" s="81">
        <v>0</v>
      </c>
      <c r="D2838" s="82">
        <v>0</v>
      </c>
    </row>
    <row r="2839" spans="1:4">
      <c r="A2839" s="78" t="s">
        <v>2966</v>
      </c>
      <c r="B2839" s="76">
        <v>67835</v>
      </c>
      <c r="C2839" s="81">
        <v>0</v>
      </c>
      <c r="D2839" s="82">
        <v>0</v>
      </c>
    </row>
    <row r="2840" spans="1:4">
      <c r="A2840" s="78" t="s">
        <v>2967</v>
      </c>
      <c r="B2840" s="76">
        <v>67848</v>
      </c>
      <c r="C2840" s="81">
        <v>0</v>
      </c>
      <c r="D2840" s="82">
        <v>0</v>
      </c>
    </row>
    <row r="2841" spans="1:4" ht="28.5">
      <c r="A2841" s="78" t="s">
        <v>2968</v>
      </c>
      <c r="B2841" s="76">
        <v>67852</v>
      </c>
      <c r="C2841" s="81">
        <v>0</v>
      </c>
      <c r="D2841" s="82">
        <v>0</v>
      </c>
    </row>
    <row r="2842" spans="1:4" ht="28.5">
      <c r="A2842" s="78" t="s">
        <v>2969</v>
      </c>
      <c r="B2842" s="76">
        <v>67853</v>
      </c>
      <c r="C2842" s="81">
        <v>0</v>
      </c>
      <c r="D2842" s="82">
        <v>0</v>
      </c>
    </row>
    <row r="2843" spans="1:4">
      <c r="A2843" s="78" t="s">
        <v>2970</v>
      </c>
      <c r="B2843" s="76">
        <v>67863</v>
      </c>
      <c r="C2843" s="81">
        <v>0</v>
      </c>
      <c r="D2843" s="82">
        <v>0</v>
      </c>
    </row>
    <row r="2844" spans="1:4" ht="28.5">
      <c r="A2844" s="78" t="s">
        <v>2971</v>
      </c>
      <c r="B2844" s="76">
        <v>67866</v>
      </c>
      <c r="C2844" s="81">
        <v>0</v>
      </c>
      <c r="D2844" s="82">
        <v>0</v>
      </c>
    </row>
    <row r="2845" spans="1:4" ht="28.5">
      <c r="A2845" s="78" t="s">
        <v>2972</v>
      </c>
      <c r="B2845" s="76">
        <v>67868</v>
      </c>
      <c r="C2845" s="81">
        <v>0</v>
      </c>
      <c r="D2845" s="82">
        <v>0</v>
      </c>
    </row>
    <row r="2846" spans="1:4" ht="28.5">
      <c r="A2846" s="78" t="s">
        <v>2973</v>
      </c>
      <c r="B2846" s="76" t="s">
        <v>2974</v>
      </c>
      <c r="C2846" s="81">
        <v>0</v>
      </c>
      <c r="D2846" s="82">
        <v>0</v>
      </c>
    </row>
    <row r="2847" spans="1:4" ht="28.5">
      <c r="A2847" s="78" t="s">
        <v>2975</v>
      </c>
      <c r="B2847" s="76" t="s">
        <v>2976</v>
      </c>
      <c r="C2847" s="81">
        <v>0</v>
      </c>
      <c r="D2847" s="82">
        <v>0</v>
      </c>
    </row>
    <row r="2848" spans="1:4" ht="28.5">
      <c r="A2848" s="78" t="s">
        <v>2977</v>
      </c>
      <c r="B2848" s="76" t="s">
        <v>2978</v>
      </c>
      <c r="C2848" s="81">
        <v>0</v>
      </c>
      <c r="D2848" s="82">
        <v>0</v>
      </c>
    </row>
    <row r="2849" spans="1:4" ht="28.5">
      <c r="A2849" s="78" t="s">
        <v>2979</v>
      </c>
      <c r="B2849" s="76" t="s">
        <v>2980</v>
      </c>
      <c r="C2849" s="81">
        <v>0</v>
      </c>
      <c r="D2849" s="82">
        <v>0</v>
      </c>
    </row>
    <row r="2850" spans="1:4" ht="57">
      <c r="A2850" s="78" t="s">
        <v>2981</v>
      </c>
      <c r="B2850" s="76" t="s">
        <v>2982</v>
      </c>
      <c r="C2850" s="81">
        <v>0</v>
      </c>
      <c r="D2850" s="82">
        <v>0</v>
      </c>
    </row>
    <row r="2851" spans="1:4" ht="28.5">
      <c r="A2851" s="78" t="s">
        <v>2983</v>
      </c>
      <c r="B2851" s="76" t="s">
        <v>2984</v>
      </c>
      <c r="C2851" s="81">
        <v>0</v>
      </c>
      <c r="D2851" s="82">
        <v>0</v>
      </c>
    </row>
    <row r="2852" spans="1:4" ht="42.75">
      <c r="A2852" s="78" t="s">
        <v>2985</v>
      </c>
      <c r="B2852" s="76" t="s">
        <v>2986</v>
      </c>
      <c r="C2852" s="81">
        <v>0</v>
      </c>
      <c r="D2852" s="82">
        <v>0</v>
      </c>
    </row>
    <row r="2853" spans="1:4" ht="42.75">
      <c r="A2853" s="78" t="s">
        <v>2987</v>
      </c>
      <c r="B2853" s="76" t="s">
        <v>2988</v>
      </c>
      <c r="C2853" s="81">
        <v>0</v>
      </c>
      <c r="D2853" s="82">
        <v>0</v>
      </c>
    </row>
    <row r="2854" spans="1:4" ht="57">
      <c r="A2854" s="78" t="s">
        <v>2989</v>
      </c>
      <c r="B2854" s="76" t="s">
        <v>2990</v>
      </c>
      <c r="C2854" s="81">
        <v>0</v>
      </c>
      <c r="D2854" s="82">
        <v>0</v>
      </c>
    </row>
    <row r="2855" spans="1:4" ht="57">
      <c r="A2855" s="78" t="s">
        <v>2991</v>
      </c>
      <c r="B2855" s="76" t="s">
        <v>2992</v>
      </c>
      <c r="C2855" s="81">
        <v>0</v>
      </c>
      <c r="D2855" s="82">
        <v>0</v>
      </c>
    </row>
    <row r="2856" spans="1:4" ht="57">
      <c r="A2856" s="78" t="s">
        <v>2993</v>
      </c>
      <c r="B2856" s="76" t="s">
        <v>2994</v>
      </c>
      <c r="C2856" s="81">
        <v>0</v>
      </c>
      <c r="D2856" s="82">
        <v>0</v>
      </c>
    </row>
    <row r="2857" spans="1:4" ht="57">
      <c r="A2857" s="78" t="s">
        <v>2995</v>
      </c>
      <c r="B2857" s="76" t="s">
        <v>2996</v>
      </c>
      <c r="C2857" s="81">
        <v>0</v>
      </c>
      <c r="D2857" s="82">
        <v>0</v>
      </c>
    </row>
    <row r="2858" spans="1:4" ht="57">
      <c r="A2858" s="78" t="s">
        <v>2997</v>
      </c>
      <c r="B2858" s="76" t="s">
        <v>2998</v>
      </c>
      <c r="C2858" s="81">
        <v>0</v>
      </c>
      <c r="D2858" s="82">
        <v>0</v>
      </c>
    </row>
    <row r="2859" spans="1:4" ht="42.75">
      <c r="A2859" s="78" t="s">
        <v>2999</v>
      </c>
      <c r="B2859" s="76" t="s">
        <v>3000</v>
      </c>
      <c r="C2859" s="81">
        <v>0</v>
      </c>
      <c r="D2859" s="82">
        <v>0</v>
      </c>
    </row>
    <row r="2860" spans="1:4" ht="42.75">
      <c r="A2860" s="78" t="s">
        <v>3001</v>
      </c>
      <c r="B2860" s="76" t="s">
        <v>3002</v>
      </c>
      <c r="C2860" s="81">
        <v>0</v>
      </c>
      <c r="D2860" s="82">
        <v>0</v>
      </c>
    </row>
    <row r="2861" spans="1:4" ht="57">
      <c r="A2861" s="78" t="s">
        <v>3003</v>
      </c>
      <c r="B2861" s="76" t="s">
        <v>3004</v>
      </c>
      <c r="C2861" s="81">
        <v>0</v>
      </c>
      <c r="D2861" s="82">
        <v>0</v>
      </c>
    </row>
    <row r="2862" spans="1:4" ht="71.25">
      <c r="A2862" s="78" t="s">
        <v>3005</v>
      </c>
      <c r="B2862" s="76" t="s">
        <v>3006</v>
      </c>
      <c r="C2862" s="81">
        <v>0</v>
      </c>
      <c r="D2862" s="82">
        <v>0</v>
      </c>
    </row>
    <row r="2863" spans="1:4" ht="57">
      <c r="A2863" s="78" t="s">
        <v>3007</v>
      </c>
      <c r="B2863" s="76" t="s">
        <v>3008</v>
      </c>
      <c r="C2863" s="81">
        <v>0</v>
      </c>
      <c r="D2863" s="82">
        <v>0</v>
      </c>
    </row>
    <row r="2864" spans="1:4" ht="57">
      <c r="A2864" s="78" t="s">
        <v>3009</v>
      </c>
      <c r="B2864" s="76" t="s">
        <v>3010</v>
      </c>
      <c r="C2864" s="81">
        <v>0</v>
      </c>
      <c r="D2864" s="82">
        <v>0</v>
      </c>
    </row>
    <row r="2865" spans="1:4" ht="71.25">
      <c r="A2865" s="78" t="s">
        <v>3011</v>
      </c>
      <c r="B2865" s="76" t="s">
        <v>3012</v>
      </c>
      <c r="C2865" s="81">
        <v>0</v>
      </c>
      <c r="D2865" s="82">
        <v>0</v>
      </c>
    </row>
    <row r="2866" spans="1:4" ht="71.25">
      <c r="A2866" s="78" t="s">
        <v>3013</v>
      </c>
      <c r="B2866" s="76" t="s">
        <v>3014</v>
      </c>
      <c r="C2866" s="81">
        <v>0</v>
      </c>
      <c r="D2866" s="82">
        <v>0</v>
      </c>
    </row>
    <row r="2867" spans="1:4" ht="57">
      <c r="A2867" s="78" t="s">
        <v>3015</v>
      </c>
      <c r="B2867" s="76" t="s">
        <v>3016</v>
      </c>
      <c r="C2867" s="81">
        <v>0</v>
      </c>
      <c r="D2867" s="82">
        <v>0</v>
      </c>
    </row>
    <row r="2868" spans="1:4" ht="71.25">
      <c r="A2868" s="78" t="s">
        <v>3017</v>
      </c>
      <c r="B2868" s="76" t="s">
        <v>3018</v>
      </c>
      <c r="C2868" s="81">
        <v>0</v>
      </c>
      <c r="D2868" s="82">
        <v>0</v>
      </c>
    </row>
    <row r="2869" spans="1:4" ht="71.25">
      <c r="A2869" s="78" t="s">
        <v>3019</v>
      </c>
      <c r="B2869" s="76" t="s">
        <v>3020</v>
      </c>
      <c r="C2869" s="81">
        <v>0</v>
      </c>
      <c r="D2869" s="82">
        <v>0</v>
      </c>
    </row>
    <row r="2870" spans="1:4" ht="57">
      <c r="A2870" s="78" t="s">
        <v>3021</v>
      </c>
      <c r="B2870" s="76" t="s">
        <v>3022</v>
      </c>
      <c r="C2870" s="81">
        <v>0</v>
      </c>
      <c r="D2870" s="82">
        <v>0</v>
      </c>
    </row>
    <row r="2871" spans="1:4" ht="71.25">
      <c r="A2871" s="78" t="s">
        <v>3023</v>
      </c>
      <c r="B2871" s="76" t="s">
        <v>3024</v>
      </c>
      <c r="C2871" s="81">
        <v>0</v>
      </c>
      <c r="D2871" s="82">
        <v>0</v>
      </c>
    </row>
    <row r="2872" spans="1:4" ht="57">
      <c r="A2872" s="78" t="s">
        <v>3025</v>
      </c>
      <c r="B2872" s="76" t="s">
        <v>3026</v>
      </c>
      <c r="C2872" s="81">
        <v>0</v>
      </c>
      <c r="D2872" s="82">
        <v>0</v>
      </c>
    </row>
    <row r="2873" spans="1:4" ht="57">
      <c r="A2873" s="78" t="s">
        <v>3027</v>
      </c>
      <c r="B2873" s="76" t="s">
        <v>3028</v>
      </c>
      <c r="C2873" s="81">
        <v>0</v>
      </c>
      <c r="D2873" s="82">
        <v>0</v>
      </c>
    </row>
    <row r="2874" spans="1:4" ht="57">
      <c r="A2874" s="78" t="s">
        <v>3029</v>
      </c>
      <c r="B2874" s="76" t="s">
        <v>3030</v>
      </c>
      <c r="C2874" s="81">
        <v>0</v>
      </c>
      <c r="D2874" s="82">
        <v>0</v>
      </c>
    </row>
    <row r="2875" spans="1:4" ht="57">
      <c r="A2875" s="78" t="s">
        <v>3031</v>
      </c>
      <c r="B2875" s="76" t="s">
        <v>3032</v>
      </c>
      <c r="C2875" s="81">
        <v>0</v>
      </c>
      <c r="D2875" s="82">
        <v>0</v>
      </c>
    </row>
    <row r="2876" spans="1:4" ht="42.75">
      <c r="A2876" s="78" t="s">
        <v>3033</v>
      </c>
      <c r="B2876" s="76" t="s">
        <v>3034</v>
      </c>
      <c r="C2876" s="81">
        <v>0</v>
      </c>
      <c r="D2876" s="82">
        <v>0</v>
      </c>
    </row>
    <row r="2877" spans="1:4" ht="42.75">
      <c r="A2877" s="78" t="s">
        <v>3035</v>
      </c>
      <c r="B2877" s="76" t="s">
        <v>3036</v>
      </c>
      <c r="C2877" s="81">
        <v>0</v>
      </c>
      <c r="D2877" s="82">
        <v>0</v>
      </c>
    </row>
    <row r="2878" spans="1:4" ht="42.75">
      <c r="A2878" s="78" t="s">
        <v>3037</v>
      </c>
      <c r="B2878" s="76" t="s">
        <v>3038</v>
      </c>
      <c r="C2878" s="81">
        <v>0</v>
      </c>
      <c r="D2878" s="82">
        <v>0</v>
      </c>
    </row>
    <row r="2879" spans="1:4" ht="42.75">
      <c r="A2879" s="78" t="s">
        <v>3039</v>
      </c>
      <c r="B2879" s="76" t="s">
        <v>3040</v>
      </c>
      <c r="C2879" s="81">
        <v>0</v>
      </c>
      <c r="D2879" s="82">
        <v>0</v>
      </c>
    </row>
    <row r="2880" spans="1:4" ht="57">
      <c r="A2880" s="78" t="s">
        <v>3041</v>
      </c>
      <c r="B2880" s="76" t="s">
        <v>3042</v>
      </c>
      <c r="C2880" s="81">
        <v>0</v>
      </c>
      <c r="D2880" s="82">
        <v>0</v>
      </c>
    </row>
    <row r="2881" spans="1:4" ht="57">
      <c r="A2881" s="78" t="s">
        <v>3043</v>
      </c>
      <c r="B2881" s="76" t="s">
        <v>3044</v>
      </c>
      <c r="C2881" s="81">
        <v>0</v>
      </c>
      <c r="D2881" s="82">
        <v>0</v>
      </c>
    </row>
    <row r="2882" spans="1:4" ht="71.25">
      <c r="A2882" s="78" t="s">
        <v>3045</v>
      </c>
      <c r="B2882" s="76" t="s">
        <v>3046</v>
      </c>
      <c r="C2882" s="81">
        <v>0</v>
      </c>
      <c r="D2882" s="82">
        <v>0</v>
      </c>
    </row>
    <row r="2883" spans="1:4" ht="57">
      <c r="A2883" s="78" t="s">
        <v>3047</v>
      </c>
      <c r="B2883" s="76" t="s">
        <v>3048</v>
      </c>
      <c r="C2883" s="81">
        <v>0</v>
      </c>
      <c r="D2883" s="82">
        <v>0</v>
      </c>
    </row>
    <row r="2884" spans="1:4" ht="42.75">
      <c r="A2884" s="78" t="s">
        <v>3049</v>
      </c>
      <c r="B2884" s="76" t="s">
        <v>3050</v>
      </c>
      <c r="C2884" s="81">
        <v>0</v>
      </c>
      <c r="D2884" s="82">
        <v>0</v>
      </c>
    </row>
    <row r="2885" spans="1:4" ht="57">
      <c r="A2885" s="78" t="s">
        <v>3051</v>
      </c>
      <c r="B2885" s="76" t="s">
        <v>3052</v>
      </c>
      <c r="C2885" s="81">
        <v>0</v>
      </c>
      <c r="D2885" s="82">
        <v>0</v>
      </c>
    </row>
    <row r="2886" spans="1:4" ht="42.75">
      <c r="A2886" s="78" t="s">
        <v>3053</v>
      </c>
      <c r="B2886" s="76" t="s">
        <v>3054</v>
      </c>
      <c r="C2886" s="81">
        <v>0</v>
      </c>
      <c r="D2886" s="82">
        <v>0</v>
      </c>
    </row>
    <row r="2887" spans="1:4" ht="42.75">
      <c r="A2887" s="78" t="s">
        <v>3055</v>
      </c>
      <c r="B2887" s="76" t="s">
        <v>3056</v>
      </c>
      <c r="C2887" s="81">
        <v>0</v>
      </c>
      <c r="D2887" s="82">
        <v>0</v>
      </c>
    </row>
    <row r="2888" spans="1:4" ht="42.75">
      <c r="A2888" s="78" t="s">
        <v>3057</v>
      </c>
      <c r="B2888" s="76" t="s">
        <v>3058</v>
      </c>
      <c r="C2888" s="81">
        <v>0</v>
      </c>
      <c r="D2888" s="82">
        <v>0</v>
      </c>
    </row>
    <row r="2889" spans="1:4" ht="42.75">
      <c r="A2889" s="78" t="s">
        <v>3059</v>
      </c>
      <c r="B2889" s="76" t="s">
        <v>3060</v>
      </c>
      <c r="C2889" s="81">
        <v>0</v>
      </c>
      <c r="D2889" s="82">
        <v>0</v>
      </c>
    </row>
    <row r="2890" spans="1:4" ht="57">
      <c r="A2890" s="78" t="s">
        <v>3061</v>
      </c>
      <c r="B2890" s="76" t="s">
        <v>3062</v>
      </c>
      <c r="C2890" s="81">
        <v>0</v>
      </c>
      <c r="D2890" s="82">
        <v>0</v>
      </c>
    </row>
    <row r="2891" spans="1:4" ht="42.75">
      <c r="A2891" s="78" t="s">
        <v>3063</v>
      </c>
      <c r="B2891" s="76" t="s">
        <v>3064</v>
      </c>
      <c r="C2891" s="81">
        <v>0</v>
      </c>
      <c r="D2891" s="82">
        <v>0</v>
      </c>
    </row>
    <row r="2892" spans="1:4" ht="42.75">
      <c r="A2892" s="78" t="s">
        <v>3065</v>
      </c>
      <c r="B2892" s="76" t="s">
        <v>3066</v>
      </c>
      <c r="C2892" s="81">
        <v>0</v>
      </c>
      <c r="D2892" s="82">
        <v>0</v>
      </c>
    </row>
    <row r="2893" spans="1:4" ht="57">
      <c r="A2893" s="78" t="s">
        <v>3067</v>
      </c>
      <c r="B2893" s="76" t="s">
        <v>3068</v>
      </c>
      <c r="C2893" s="81">
        <v>0</v>
      </c>
      <c r="D2893" s="82">
        <v>0</v>
      </c>
    </row>
    <row r="2894" spans="1:4">
      <c r="A2894" s="78" t="s">
        <v>3069</v>
      </c>
      <c r="B2894" s="76" t="s">
        <v>3070</v>
      </c>
      <c r="C2894" s="81">
        <v>0</v>
      </c>
      <c r="D2894" s="82">
        <v>0</v>
      </c>
    </row>
    <row r="2895" spans="1:4" ht="42.75">
      <c r="A2895" s="78" t="s">
        <v>3071</v>
      </c>
      <c r="B2895" s="76" t="s">
        <v>3072</v>
      </c>
      <c r="C2895" s="81">
        <v>0</v>
      </c>
      <c r="D2895" s="82">
        <v>0</v>
      </c>
    </row>
    <row r="2896" spans="1:4" ht="42.75">
      <c r="A2896" s="78" t="s">
        <v>3073</v>
      </c>
      <c r="B2896" s="76" t="s">
        <v>3074</v>
      </c>
      <c r="C2896" s="81">
        <v>0</v>
      </c>
      <c r="D2896" s="82">
        <v>0</v>
      </c>
    </row>
    <row r="2897" spans="1:4" ht="42.75">
      <c r="A2897" s="78" t="s">
        <v>3075</v>
      </c>
      <c r="B2897" s="76" t="s">
        <v>3076</v>
      </c>
      <c r="C2897" s="81">
        <v>0</v>
      </c>
      <c r="D2897" s="82">
        <v>0</v>
      </c>
    </row>
    <row r="2898" spans="1:4" ht="42.75">
      <c r="A2898" s="78" t="s">
        <v>3077</v>
      </c>
      <c r="B2898" s="76" t="s">
        <v>3078</v>
      </c>
      <c r="C2898" s="81">
        <v>0</v>
      </c>
      <c r="D2898" s="82">
        <v>0</v>
      </c>
    </row>
    <row r="2899" spans="1:4" ht="57">
      <c r="A2899" s="78" t="s">
        <v>3079</v>
      </c>
      <c r="B2899" s="76" t="s">
        <v>3080</v>
      </c>
      <c r="C2899" s="81">
        <v>0</v>
      </c>
      <c r="D2899" s="82">
        <v>0</v>
      </c>
    </row>
    <row r="2900" spans="1:4" ht="42.75">
      <c r="A2900" s="78" t="s">
        <v>3081</v>
      </c>
      <c r="B2900" s="76" t="s">
        <v>3082</v>
      </c>
      <c r="C2900" s="81">
        <v>0</v>
      </c>
      <c r="D2900" s="82">
        <v>0</v>
      </c>
    </row>
    <row r="2901" spans="1:4" ht="42.75">
      <c r="A2901" s="78" t="s">
        <v>3083</v>
      </c>
      <c r="B2901" s="76" t="s">
        <v>3084</v>
      </c>
      <c r="C2901" s="81">
        <v>0</v>
      </c>
      <c r="D2901" s="82">
        <v>0</v>
      </c>
    </row>
    <row r="2902" spans="1:4" ht="42.75">
      <c r="A2902" s="78" t="s">
        <v>3085</v>
      </c>
      <c r="B2902" s="76" t="s">
        <v>3086</v>
      </c>
      <c r="C2902" s="81">
        <v>0</v>
      </c>
      <c r="D2902" s="82">
        <v>0</v>
      </c>
    </row>
    <row r="2903" spans="1:4" ht="42.75">
      <c r="A2903" s="78" t="s">
        <v>3087</v>
      </c>
      <c r="B2903" s="76" t="s">
        <v>3088</v>
      </c>
      <c r="C2903" s="81">
        <v>0</v>
      </c>
      <c r="D2903" s="82">
        <v>0</v>
      </c>
    </row>
    <row r="2904" spans="1:4" ht="57">
      <c r="A2904" s="78" t="s">
        <v>3089</v>
      </c>
      <c r="B2904" s="76" t="s">
        <v>3090</v>
      </c>
      <c r="C2904" s="81">
        <v>0</v>
      </c>
      <c r="D2904" s="82">
        <v>0</v>
      </c>
    </row>
    <row r="2905" spans="1:4" ht="42.75">
      <c r="A2905" s="78" t="s">
        <v>3091</v>
      </c>
      <c r="B2905" s="76" t="s">
        <v>3092</v>
      </c>
      <c r="C2905" s="81">
        <v>0</v>
      </c>
      <c r="D2905" s="82">
        <v>0</v>
      </c>
    </row>
    <row r="2906" spans="1:4" ht="42.75">
      <c r="A2906" s="78" t="s">
        <v>3093</v>
      </c>
      <c r="B2906" s="76" t="s">
        <v>3094</v>
      </c>
      <c r="C2906" s="81">
        <v>0</v>
      </c>
      <c r="D2906" s="82">
        <v>0</v>
      </c>
    </row>
    <row r="2907" spans="1:4" ht="42.75">
      <c r="A2907" s="78" t="s">
        <v>3095</v>
      </c>
      <c r="B2907" s="76" t="s">
        <v>3096</v>
      </c>
      <c r="C2907" s="81">
        <v>0</v>
      </c>
      <c r="D2907" s="82">
        <v>0</v>
      </c>
    </row>
    <row r="2908" spans="1:4" ht="42.75">
      <c r="A2908" s="78" t="s">
        <v>3097</v>
      </c>
      <c r="B2908" s="76" t="s">
        <v>3098</v>
      </c>
      <c r="C2908" s="81">
        <v>0</v>
      </c>
      <c r="D2908" s="82">
        <v>0</v>
      </c>
    </row>
    <row r="2909" spans="1:4" ht="57">
      <c r="A2909" s="78" t="s">
        <v>3099</v>
      </c>
      <c r="B2909" s="76" t="s">
        <v>3100</v>
      </c>
      <c r="C2909" s="81">
        <v>0</v>
      </c>
      <c r="D2909" s="82">
        <v>0</v>
      </c>
    </row>
    <row r="2910" spans="1:4" ht="57">
      <c r="A2910" s="78" t="s">
        <v>3101</v>
      </c>
      <c r="B2910" s="76" t="s">
        <v>3102</v>
      </c>
      <c r="C2910" s="81">
        <v>0</v>
      </c>
      <c r="D2910" s="82">
        <v>0</v>
      </c>
    </row>
    <row r="2911" spans="1:4" ht="42.75">
      <c r="A2911" s="78" t="s">
        <v>3103</v>
      </c>
      <c r="B2911" s="76" t="s">
        <v>3104</v>
      </c>
      <c r="C2911" s="81">
        <v>0</v>
      </c>
      <c r="D2911" s="82">
        <v>0</v>
      </c>
    </row>
    <row r="2912" spans="1:4" ht="42.75">
      <c r="A2912" s="78" t="s">
        <v>3105</v>
      </c>
      <c r="B2912" s="76" t="s">
        <v>3106</v>
      </c>
      <c r="C2912" s="81">
        <v>0</v>
      </c>
      <c r="D2912" s="82">
        <v>0</v>
      </c>
    </row>
    <row r="2913" spans="1:4" ht="57">
      <c r="A2913" s="78" t="s">
        <v>3107</v>
      </c>
      <c r="B2913" s="76" t="s">
        <v>3108</v>
      </c>
      <c r="C2913" s="81">
        <v>0</v>
      </c>
      <c r="D2913" s="82">
        <v>0</v>
      </c>
    </row>
    <row r="2914" spans="1:4" ht="42.75">
      <c r="A2914" s="78" t="s">
        <v>3109</v>
      </c>
      <c r="B2914" s="76" t="s">
        <v>3110</v>
      </c>
      <c r="C2914" s="81">
        <v>0</v>
      </c>
      <c r="D2914" s="82">
        <v>0</v>
      </c>
    </row>
    <row r="2915" spans="1:4" ht="57">
      <c r="A2915" s="78" t="s">
        <v>3111</v>
      </c>
      <c r="B2915" s="76" t="s">
        <v>3112</v>
      </c>
      <c r="C2915" s="81">
        <v>0</v>
      </c>
      <c r="D2915" s="82">
        <v>0</v>
      </c>
    </row>
    <row r="2916" spans="1:4" ht="71.25">
      <c r="A2916" s="78" t="s">
        <v>3113</v>
      </c>
      <c r="B2916" s="76" t="s">
        <v>3114</v>
      </c>
      <c r="C2916" s="81">
        <v>0</v>
      </c>
      <c r="D2916" s="82">
        <v>0</v>
      </c>
    </row>
    <row r="2917" spans="1:4" ht="42.75">
      <c r="A2917" s="78" t="s">
        <v>3115</v>
      </c>
      <c r="B2917" s="76" t="s">
        <v>3116</v>
      </c>
      <c r="C2917" s="81">
        <v>0</v>
      </c>
      <c r="D2917" s="82">
        <v>0</v>
      </c>
    </row>
    <row r="2918" spans="1:4" ht="42.75">
      <c r="A2918" s="78" t="s">
        <v>3117</v>
      </c>
      <c r="B2918" s="76" t="s">
        <v>3118</v>
      </c>
      <c r="C2918" s="81">
        <v>0</v>
      </c>
      <c r="D2918" s="82">
        <v>0</v>
      </c>
    </row>
    <row r="2919" spans="1:4" ht="42.75">
      <c r="A2919" s="78" t="s">
        <v>3119</v>
      </c>
      <c r="B2919" s="76" t="s">
        <v>3120</v>
      </c>
      <c r="C2919" s="81">
        <v>0</v>
      </c>
      <c r="D2919" s="82">
        <v>0</v>
      </c>
    </row>
    <row r="2920" spans="1:4" ht="42.75">
      <c r="A2920" s="78" t="s">
        <v>3121</v>
      </c>
      <c r="B2920" s="76" t="s">
        <v>3122</v>
      </c>
      <c r="C2920" s="81">
        <v>0</v>
      </c>
      <c r="D2920" s="82">
        <v>0</v>
      </c>
    </row>
    <row r="2921" spans="1:4" ht="71.25">
      <c r="A2921" s="78" t="s">
        <v>3123</v>
      </c>
      <c r="B2921" s="76" t="s">
        <v>3124</v>
      </c>
      <c r="C2921" s="81">
        <v>0</v>
      </c>
      <c r="D2921" s="82">
        <v>0</v>
      </c>
    </row>
    <row r="2922" spans="1:4" ht="42.75">
      <c r="A2922" s="78" t="s">
        <v>3125</v>
      </c>
      <c r="B2922" s="76" t="s">
        <v>3126</v>
      </c>
      <c r="C2922" s="81">
        <v>0</v>
      </c>
      <c r="D2922" s="82">
        <v>0</v>
      </c>
    </row>
    <row r="2923" spans="1:4" ht="42.75">
      <c r="A2923" s="78" t="s">
        <v>3127</v>
      </c>
      <c r="B2923" s="76" t="s">
        <v>3128</v>
      </c>
      <c r="C2923" s="81">
        <v>0</v>
      </c>
      <c r="D2923" s="82">
        <v>0</v>
      </c>
    </row>
    <row r="2924" spans="1:4" ht="42.75">
      <c r="A2924" s="78" t="s">
        <v>3129</v>
      </c>
      <c r="B2924" s="76" t="s">
        <v>3130</v>
      </c>
      <c r="C2924" s="81">
        <v>0</v>
      </c>
      <c r="D2924" s="82">
        <v>0</v>
      </c>
    </row>
    <row r="2925" spans="1:4" ht="42.75">
      <c r="A2925" s="78" t="s">
        <v>3131</v>
      </c>
      <c r="B2925" s="76" t="s">
        <v>3132</v>
      </c>
      <c r="C2925" s="81">
        <v>0</v>
      </c>
      <c r="D2925" s="82">
        <v>0</v>
      </c>
    </row>
    <row r="2926" spans="1:4" ht="42.75">
      <c r="A2926" s="78" t="s">
        <v>3133</v>
      </c>
      <c r="B2926" s="76" t="s">
        <v>3134</v>
      </c>
      <c r="C2926" s="81">
        <v>0</v>
      </c>
      <c r="D2926" s="82">
        <v>0</v>
      </c>
    </row>
    <row r="2927" spans="1:4" ht="28.5">
      <c r="A2927" s="78" t="s">
        <v>3135</v>
      </c>
      <c r="B2927" s="76" t="s">
        <v>3136</v>
      </c>
      <c r="C2927" s="81">
        <v>0</v>
      </c>
      <c r="D2927" s="82">
        <v>0</v>
      </c>
    </row>
    <row r="2928" spans="1:4" ht="28.5">
      <c r="A2928" s="78" t="s">
        <v>3137</v>
      </c>
      <c r="B2928" s="76" t="s">
        <v>3138</v>
      </c>
      <c r="C2928" s="81">
        <v>0</v>
      </c>
      <c r="D2928" s="82">
        <v>0</v>
      </c>
    </row>
    <row r="2929" spans="1:4" ht="28.5">
      <c r="A2929" s="78" t="s">
        <v>3139</v>
      </c>
      <c r="B2929" s="76" t="s">
        <v>3140</v>
      </c>
      <c r="C2929" s="81">
        <v>0</v>
      </c>
      <c r="D2929" s="82">
        <v>0</v>
      </c>
    </row>
    <row r="2930" spans="1:4" ht="28.5">
      <c r="A2930" s="78" t="s">
        <v>3141</v>
      </c>
      <c r="B2930" s="76" t="s">
        <v>3142</v>
      </c>
      <c r="C2930" s="81">
        <v>0</v>
      </c>
      <c r="D2930" s="82">
        <v>0</v>
      </c>
    </row>
    <row r="2931" spans="1:4" ht="42.75">
      <c r="A2931" s="78" t="s">
        <v>3143</v>
      </c>
      <c r="B2931" s="76" t="s">
        <v>3144</v>
      </c>
      <c r="C2931" s="81">
        <v>0</v>
      </c>
      <c r="D2931" s="82">
        <v>0</v>
      </c>
    </row>
    <row r="2932" spans="1:4">
      <c r="A2932" s="78" t="s">
        <v>3145</v>
      </c>
      <c r="B2932" s="76" t="s">
        <v>3146</v>
      </c>
      <c r="C2932" s="81">
        <v>0</v>
      </c>
      <c r="D2932" s="82">
        <v>0</v>
      </c>
    </row>
    <row r="2933" spans="1:4" ht="28.5">
      <c r="A2933" s="78" t="s">
        <v>3147</v>
      </c>
      <c r="B2933" s="76" t="s">
        <v>3148</v>
      </c>
      <c r="C2933" s="81">
        <v>0</v>
      </c>
      <c r="D2933" s="82">
        <v>0</v>
      </c>
    </row>
    <row r="2934" spans="1:4" ht="28.5">
      <c r="A2934" s="78" t="s">
        <v>3149</v>
      </c>
      <c r="B2934" s="76" t="s">
        <v>3150</v>
      </c>
      <c r="C2934" s="81">
        <v>0</v>
      </c>
      <c r="D2934" s="82">
        <v>0</v>
      </c>
    </row>
    <row r="2935" spans="1:4" ht="28.5">
      <c r="A2935" s="78" t="s">
        <v>3151</v>
      </c>
      <c r="B2935" s="76" t="s">
        <v>3152</v>
      </c>
      <c r="C2935" s="81">
        <v>0</v>
      </c>
      <c r="D2935" s="82">
        <v>0</v>
      </c>
    </row>
    <row r="2936" spans="1:4">
      <c r="A2936" s="78" t="s">
        <v>3153</v>
      </c>
      <c r="B2936" s="76" t="s">
        <v>3154</v>
      </c>
      <c r="C2936" s="81">
        <v>0</v>
      </c>
      <c r="D2936" s="82">
        <v>0</v>
      </c>
    </row>
    <row r="2937" spans="1:4" ht="42.75">
      <c r="A2937" s="78" t="s">
        <v>3155</v>
      </c>
      <c r="B2937" s="76" t="s">
        <v>3156</v>
      </c>
      <c r="C2937" s="81">
        <v>0</v>
      </c>
      <c r="D2937" s="82">
        <v>0</v>
      </c>
    </row>
    <row r="2938" spans="1:4" ht="42.75">
      <c r="A2938" s="78" t="s">
        <v>3157</v>
      </c>
      <c r="B2938" s="76" t="s">
        <v>3158</v>
      </c>
      <c r="C2938" s="81">
        <v>0</v>
      </c>
      <c r="D2938" s="82">
        <v>0</v>
      </c>
    </row>
    <row r="2939" spans="1:4" ht="28.5">
      <c r="A2939" s="78" t="s">
        <v>3159</v>
      </c>
      <c r="B2939" s="76" t="s">
        <v>3160</v>
      </c>
      <c r="C2939" s="81">
        <v>0</v>
      </c>
      <c r="D2939" s="82">
        <v>0</v>
      </c>
    </row>
    <row r="2940" spans="1:4">
      <c r="A2940" s="78" t="s">
        <v>3161</v>
      </c>
      <c r="B2940" s="76" t="s">
        <v>3162</v>
      </c>
      <c r="C2940" s="81">
        <v>0</v>
      </c>
      <c r="D2940" s="82">
        <v>0</v>
      </c>
    </row>
    <row r="2941" spans="1:4" ht="42.75">
      <c r="A2941" s="78" t="s">
        <v>3163</v>
      </c>
      <c r="B2941" s="76" t="s">
        <v>3164</v>
      </c>
      <c r="C2941" s="81">
        <v>0</v>
      </c>
      <c r="D2941" s="82">
        <v>0</v>
      </c>
    </row>
    <row r="2942" spans="1:4" ht="28.5">
      <c r="A2942" s="78" t="s">
        <v>3165</v>
      </c>
      <c r="B2942" s="76" t="s">
        <v>3166</v>
      </c>
      <c r="C2942" s="81">
        <v>0</v>
      </c>
      <c r="D2942" s="82">
        <v>0</v>
      </c>
    </row>
    <row r="2943" spans="1:4" ht="28.5">
      <c r="A2943" s="78" t="s">
        <v>3167</v>
      </c>
      <c r="B2943" s="76" t="s">
        <v>3168</v>
      </c>
      <c r="C2943" s="81">
        <v>0</v>
      </c>
      <c r="D2943" s="82">
        <v>0</v>
      </c>
    </row>
    <row r="2944" spans="1:4" ht="57">
      <c r="A2944" s="78" t="s">
        <v>3169</v>
      </c>
      <c r="B2944" s="76" t="s">
        <v>3170</v>
      </c>
      <c r="C2944" s="81">
        <v>0</v>
      </c>
      <c r="D2944" s="82">
        <v>0</v>
      </c>
    </row>
    <row r="2945" spans="1:4" ht="57">
      <c r="A2945" s="78" t="s">
        <v>3171</v>
      </c>
      <c r="B2945" s="76" t="s">
        <v>3172</v>
      </c>
      <c r="C2945" s="81">
        <v>0</v>
      </c>
      <c r="D2945" s="82">
        <v>0</v>
      </c>
    </row>
    <row r="2946" spans="1:4">
      <c r="A2946" s="78" t="s">
        <v>3173</v>
      </c>
      <c r="B2946" s="76" t="s">
        <v>3174</v>
      </c>
      <c r="C2946" s="81">
        <v>0</v>
      </c>
      <c r="D2946" s="82">
        <v>0</v>
      </c>
    </row>
    <row r="2947" spans="1:4" ht="57">
      <c r="A2947" s="78" t="s">
        <v>3175</v>
      </c>
      <c r="B2947" s="76" t="s">
        <v>3176</v>
      </c>
      <c r="C2947" s="81">
        <v>0</v>
      </c>
      <c r="D2947" s="82">
        <v>0</v>
      </c>
    </row>
    <row r="2948" spans="1:4" ht="42.75">
      <c r="A2948" s="78" t="s">
        <v>3177</v>
      </c>
      <c r="B2948" s="76" t="s">
        <v>3178</v>
      </c>
      <c r="C2948" s="81">
        <v>0</v>
      </c>
      <c r="D2948" s="82">
        <v>0</v>
      </c>
    </row>
    <row r="2949" spans="1:4" ht="42.75">
      <c r="A2949" s="78" t="s">
        <v>3179</v>
      </c>
      <c r="B2949" s="76" t="s">
        <v>3180</v>
      </c>
      <c r="C2949" s="81">
        <v>0</v>
      </c>
      <c r="D2949" s="82">
        <v>0</v>
      </c>
    </row>
    <row r="2950" spans="1:4" ht="42.75">
      <c r="A2950" s="78" t="s">
        <v>3181</v>
      </c>
      <c r="B2950" s="76" t="s">
        <v>3182</v>
      </c>
      <c r="C2950" s="81">
        <v>0</v>
      </c>
      <c r="D2950" s="82">
        <v>0</v>
      </c>
    </row>
    <row r="2951" spans="1:4" ht="42.75">
      <c r="A2951" s="78" t="s">
        <v>3183</v>
      </c>
      <c r="B2951" s="76" t="s">
        <v>3184</v>
      </c>
      <c r="C2951" s="81">
        <v>0</v>
      </c>
      <c r="D2951" s="82">
        <v>0</v>
      </c>
    </row>
    <row r="2952" spans="1:4" ht="28.5">
      <c r="A2952" s="78" t="s">
        <v>3185</v>
      </c>
      <c r="B2952" s="76" t="s">
        <v>3186</v>
      </c>
      <c r="C2952" s="81">
        <v>0</v>
      </c>
      <c r="D2952" s="82">
        <v>0</v>
      </c>
    </row>
    <row r="2953" spans="1:4" ht="28.5">
      <c r="A2953" s="78" t="s">
        <v>3187</v>
      </c>
      <c r="B2953" s="76" t="s">
        <v>3188</v>
      </c>
      <c r="C2953" s="81">
        <v>0</v>
      </c>
      <c r="D2953" s="82">
        <v>0</v>
      </c>
    </row>
    <row r="2954" spans="1:4" ht="42.75">
      <c r="A2954" s="78" t="s">
        <v>3189</v>
      </c>
      <c r="B2954" s="76" t="s">
        <v>3190</v>
      </c>
      <c r="C2954" s="81">
        <v>0</v>
      </c>
      <c r="D2954" s="82">
        <v>0</v>
      </c>
    </row>
    <row r="2955" spans="1:4" ht="42.75">
      <c r="A2955" s="78" t="s">
        <v>3191</v>
      </c>
      <c r="B2955" s="76" t="s">
        <v>3192</v>
      </c>
      <c r="C2955" s="81">
        <v>0</v>
      </c>
      <c r="D2955" s="82">
        <v>0</v>
      </c>
    </row>
    <row r="2956" spans="1:4" ht="28.5">
      <c r="A2956" s="78" t="s">
        <v>3193</v>
      </c>
      <c r="B2956" s="76" t="s">
        <v>3194</v>
      </c>
      <c r="C2956" s="81">
        <v>0</v>
      </c>
      <c r="D2956" s="82">
        <v>0</v>
      </c>
    </row>
    <row r="2957" spans="1:4" ht="28.5">
      <c r="A2957" s="78" t="s">
        <v>3195</v>
      </c>
      <c r="B2957" s="76" t="s">
        <v>3196</v>
      </c>
      <c r="C2957" s="81">
        <v>0</v>
      </c>
      <c r="D2957" s="82">
        <v>0</v>
      </c>
    </row>
    <row r="2958" spans="1:4" ht="28.5">
      <c r="A2958" s="78" t="s">
        <v>3197</v>
      </c>
      <c r="B2958" s="76" t="s">
        <v>3198</v>
      </c>
      <c r="C2958" s="81">
        <v>0</v>
      </c>
      <c r="D2958" s="82">
        <v>0</v>
      </c>
    </row>
    <row r="2959" spans="1:4" ht="28.5">
      <c r="A2959" s="78" t="s">
        <v>3199</v>
      </c>
      <c r="B2959" s="76" t="s">
        <v>3200</v>
      </c>
      <c r="C2959" s="81">
        <v>0</v>
      </c>
      <c r="D2959" s="82">
        <v>0</v>
      </c>
    </row>
    <row r="2960" spans="1:4" ht="28.5">
      <c r="A2960" s="78" t="s">
        <v>3201</v>
      </c>
      <c r="B2960" s="76" t="s">
        <v>3202</v>
      </c>
      <c r="C2960" s="81">
        <v>0</v>
      </c>
      <c r="D2960" s="82">
        <v>0</v>
      </c>
    </row>
    <row r="2961" spans="1:4" ht="42.75">
      <c r="A2961" s="78" t="s">
        <v>3203</v>
      </c>
      <c r="B2961" s="76" t="s">
        <v>3204</v>
      </c>
      <c r="C2961" s="81">
        <v>0</v>
      </c>
      <c r="D2961" s="82">
        <v>0</v>
      </c>
    </row>
    <row r="2962" spans="1:4" ht="28.5">
      <c r="A2962" s="78" t="s">
        <v>3205</v>
      </c>
      <c r="B2962" s="76" t="s">
        <v>3206</v>
      </c>
      <c r="C2962" s="81">
        <v>0</v>
      </c>
      <c r="D2962" s="82">
        <v>0</v>
      </c>
    </row>
    <row r="2963" spans="1:4" ht="57">
      <c r="A2963" s="78" t="s">
        <v>3207</v>
      </c>
      <c r="B2963" s="76" t="s">
        <v>3208</v>
      </c>
      <c r="C2963" s="81">
        <v>0</v>
      </c>
      <c r="D2963" s="82">
        <v>0</v>
      </c>
    </row>
    <row r="2964" spans="1:4" ht="57">
      <c r="A2964" s="78" t="s">
        <v>3209</v>
      </c>
      <c r="B2964" s="76" t="s">
        <v>3210</v>
      </c>
      <c r="C2964" s="81">
        <v>0</v>
      </c>
      <c r="D2964" s="82">
        <v>0</v>
      </c>
    </row>
    <row r="2965" spans="1:4" ht="28.5">
      <c r="A2965" s="78" t="s">
        <v>3211</v>
      </c>
      <c r="B2965" s="76" t="s">
        <v>3212</v>
      </c>
      <c r="C2965" s="81">
        <v>0</v>
      </c>
      <c r="D2965" s="82">
        <v>0</v>
      </c>
    </row>
    <row r="2966" spans="1:4" ht="28.5">
      <c r="A2966" s="78" t="s">
        <v>3213</v>
      </c>
      <c r="B2966" s="76" t="s">
        <v>3214</v>
      </c>
      <c r="C2966" s="81">
        <v>0</v>
      </c>
      <c r="D2966" s="82">
        <v>0</v>
      </c>
    </row>
    <row r="2967" spans="1:4" ht="28.5">
      <c r="A2967" s="78" t="s">
        <v>3215</v>
      </c>
      <c r="B2967" s="76" t="s">
        <v>3216</v>
      </c>
      <c r="C2967" s="81">
        <v>0</v>
      </c>
      <c r="D2967" s="82">
        <v>0</v>
      </c>
    </row>
    <row r="2968" spans="1:4" ht="28.5">
      <c r="A2968" s="78" t="s">
        <v>3217</v>
      </c>
      <c r="B2968" s="76" t="s">
        <v>3218</v>
      </c>
      <c r="C2968" s="81">
        <v>0</v>
      </c>
      <c r="D2968" s="82">
        <v>0</v>
      </c>
    </row>
    <row r="2969" spans="1:4" ht="28.5">
      <c r="A2969" s="78" t="s">
        <v>3219</v>
      </c>
      <c r="B2969" s="76" t="s">
        <v>3220</v>
      </c>
      <c r="C2969" s="81">
        <v>0</v>
      </c>
      <c r="D2969" s="82">
        <v>0</v>
      </c>
    </row>
    <row r="2970" spans="1:4" ht="28.5">
      <c r="A2970" s="78" t="s">
        <v>3221</v>
      </c>
      <c r="B2970" s="76" t="s">
        <v>3222</v>
      </c>
      <c r="C2970" s="81">
        <v>0</v>
      </c>
      <c r="D2970" s="82">
        <v>0</v>
      </c>
    </row>
    <row r="2971" spans="1:4" ht="28.5">
      <c r="A2971" s="78" t="s">
        <v>3223</v>
      </c>
      <c r="B2971" s="76" t="s">
        <v>3224</v>
      </c>
      <c r="C2971" s="81">
        <v>0</v>
      </c>
      <c r="D2971" s="82">
        <v>0</v>
      </c>
    </row>
    <row r="2972" spans="1:4" ht="28.5">
      <c r="A2972" s="78" t="s">
        <v>3225</v>
      </c>
      <c r="B2972" s="76" t="s">
        <v>3226</v>
      </c>
      <c r="C2972" s="81">
        <v>0</v>
      </c>
      <c r="D2972" s="82">
        <v>0</v>
      </c>
    </row>
    <row r="2973" spans="1:4" ht="28.5">
      <c r="A2973" s="78" t="s">
        <v>3227</v>
      </c>
      <c r="B2973" s="76" t="s">
        <v>3228</v>
      </c>
      <c r="C2973" s="81">
        <v>0</v>
      </c>
      <c r="D2973" s="82">
        <v>0</v>
      </c>
    </row>
    <row r="2974" spans="1:4" ht="28.5">
      <c r="A2974" s="78" t="s">
        <v>3229</v>
      </c>
      <c r="B2974" s="76" t="s">
        <v>3230</v>
      </c>
      <c r="C2974" s="81">
        <v>0</v>
      </c>
      <c r="D2974" s="82">
        <v>0</v>
      </c>
    </row>
    <row r="2975" spans="1:4" ht="28.5">
      <c r="A2975" s="78" t="s">
        <v>3231</v>
      </c>
      <c r="B2975" s="76" t="s">
        <v>3232</v>
      </c>
      <c r="C2975" s="81">
        <v>0</v>
      </c>
      <c r="D2975" s="82">
        <v>0</v>
      </c>
    </row>
    <row r="2976" spans="1:4" ht="28.5">
      <c r="A2976" s="78" t="s">
        <v>3233</v>
      </c>
      <c r="B2976" s="76" t="s">
        <v>3234</v>
      </c>
      <c r="C2976" s="81">
        <v>0</v>
      </c>
      <c r="D2976" s="82">
        <v>0</v>
      </c>
    </row>
    <row r="2977" spans="1:4" ht="28.5">
      <c r="A2977" s="78" t="s">
        <v>3235</v>
      </c>
      <c r="B2977" s="76" t="s">
        <v>3236</v>
      </c>
      <c r="C2977" s="81">
        <v>0.39389999999999997</v>
      </c>
      <c r="D2977" s="82">
        <v>0.39389999999999997</v>
      </c>
    </row>
    <row r="2978" spans="1:4" ht="42.75">
      <c r="A2978" s="78" t="s">
        <v>3237</v>
      </c>
      <c r="B2978" s="76" t="s">
        <v>3238</v>
      </c>
      <c r="C2978" s="81">
        <v>0</v>
      </c>
      <c r="D2978" s="82">
        <v>0</v>
      </c>
    </row>
    <row r="2979" spans="1:4">
      <c r="A2979" s="78" t="s">
        <v>775</v>
      </c>
      <c r="B2979" s="76" t="s">
        <v>3239</v>
      </c>
      <c r="C2979" s="81">
        <v>0</v>
      </c>
      <c r="D2979" s="82">
        <v>0</v>
      </c>
    </row>
    <row r="2980" spans="1:4" ht="42.75">
      <c r="A2980" s="78" t="s">
        <v>3240</v>
      </c>
      <c r="B2980" s="76" t="s">
        <v>3241</v>
      </c>
      <c r="C2980" s="81">
        <v>0</v>
      </c>
      <c r="D2980" s="82">
        <v>0</v>
      </c>
    </row>
    <row r="2981" spans="1:4" ht="42.75">
      <c r="A2981" s="78" t="s">
        <v>3242</v>
      </c>
      <c r="B2981" s="76" t="s">
        <v>3243</v>
      </c>
      <c r="C2981" s="81">
        <v>0</v>
      </c>
      <c r="D2981" s="82">
        <v>0</v>
      </c>
    </row>
    <row r="2982" spans="1:4" ht="28.5">
      <c r="A2982" s="78" t="s">
        <v>3244</v>
      </c>
      <c r="B2982" s="76" t="s">
        <v>3245</v>
      </c>
      <c r="C2982" s="81">
        <v>0</v>
      </c>
      <c r="D2982" s="82">
        <v>0</v>
      </c>
    </row>
    <row r="2983" spans="1:4">
      <c r="A2983" s="78" t="s">
        <v>3246</v>
      </c>
      <c r="B2983" s="76" t="s">
        <v>3247</v>
      </c>
      <c r="C2983" s="81">
        <v>0</v>
      </c>
      <c r="D2983" s="82">
        <v>0</v>
      </c>
    </row>
    <row r="2984" spans="1:4">
      <c r="A2984" s="78" t="s">
        <v>3248</v>
      </c>
      <c r="B2984" s="76" t="s">
        <v>3249</v>
      </c>
      <c r="C2984" s="81">
        <v>0</v>
      </c>
      <c r="D2984" s="82">
        <v>0</v>
      </c>
    </row>
    <row r="2985" spans="1:4" ht="42.75">
      <c r="A2985" s="78" t="s">
        <v>3250</v>
      </c>
      <c r="B2985" s="76" t="s">
        <v>3251</v>
      </c>
      <c r="C2985" s="81">
        <v>0</v>
      </c>
      <c r="D2985" s="82">
        <v>0</v>
      </c>
    </row>
    <row r="2986" spans="1:4">
      <c r="A2986" s="78" t="s">
        <v>3252</v>
      </c>
      <c r="B2986" s="76" t="s">
        <v>3253</v>
      </c>
      <c r="C2986" s="81">
        <v>0</v>
      </c>
      <c r="D2986" s="82">
        <v>0</v>
      </c>
    </row>
    <row r="2987" spans="1:4" ht="28.5">
      <c r="A2987" s="78" t="s">
        <v>3254</v>
      </c>
      <c r="B2987" s="76" t="s">
        <v>3255</v>
      </c>
      <c r="C2987" s="81">
        <v>0</v>
      </c>
      <c r="D2987" s="82">
        <v>0</v>
      </c>
    </row>
    <row r="2988" spans="1:4" ht="42.75">
      <c r="A2988" s="78" t="s">
        <v>3256</v>
      </c>
      <c r="B2988" s="76" t="s">
        <v>3257</v>
      </c>
      <c r="C2988" s="81">
        <v>0</v>
      </c>
      <c r="D2988" s="82">
        <v>0</v>
      </c>
    </row>
    <row r="2989" spans="1:4" ht="28.5">
      <c r="A2989" s="78" t="s">
        <v>3258</v>
      </c>
      <c r="B2989" s="76" t="s">
        <v>3259</v>
      </c>
      <c r="C2989" s="81">
        <v>0</v>
      </c>
      <c r="D2989" s="82">
        <v>0</v>
      </c>
    </row>
    <row r="2990" spans="1:4">
      <c r="A2990" s="78" t="s">
        <v>3260</v>
      </c>
      <c r="B2990" s="76" t="s">
        <v>3261</v>
      </c>
      <c r="C2990" s="81">
        <v>0</v>
      </c>
      <c r="D2990" s="82">
        <v>0</v>
      </c>
    </row>
    <row r="2991" spans="1:4" ht="28.5">
      <c r="A2991" s="78" t="s">
        <v>3262</v>
      </c>
      <c r="B2991" s="76" t="s">
        <v>3263</v>
      </c>
      <c r="C2991" s="81">
        <v>0</v>
      </c>
      <c r="D2991" s="82">
        <v>0</v>
      </c>
    </row>
    <row r="2992" spans="1:4" ht="28.5">
      <c r="A2992" s="78" t="s">
        <v>3264</v>
      </c>
      <c r="B2992" s="76" t="s">
        <v>3265</v>
      </c>
      <c r="C2992" s="81">
        <v>0</v>
      </c>
      <c r="D2992" s="82">
        <v>0</v>
      </c>
    </row>
    <row r="2993" spans="1:4">
      <c r="A2993" s="78" t="s">
        <v>3266</v>
      </c>
      <c r="B2993" s="76" t="s">
        <v>3267</v>
      </c>
      <c r="C2993" s="81">
        <v>0</v>
      </c>
      <c r="D2993" s="82">
        <v>0</v>
      </c>
    </row>
    <row r="2994" spans="1:4" ht="28.5">
      <c r="A2994" s="78" t="s">
        <v>3268</v>
      </c>
      <c r="B2994" s="76" t="s">
        <v>3269</v>
      </c>
      <c r="C2994" s="81">
        <v>0</v>
      </c>
      <c r="D2994" s="82">
        <v>0</v>
      </c>
    </row>
    <row r="2995" spans="1:4">
      <c r="A2995" s="78" t="s">
        <v>3270</v>
      </c>
      <c r="B2995" s="76" t="s">
        <v>3271</v>
      </c>
      <c r="C2995" s="81">
        <v>0</v>
      </c>
      <c r="D2995" s="82">
        <v>0</v>
      </c>
    </row>
    <row r="2996" spans="1:4" ht="28.5">
      <c r="A2996" s="78" t="s">
        <v>3272</v>
      </c>
      <c r="B2996" s="76" t="s">
        <v>3273</v>
      </c>
      <c r="C2996" s="81">
        <v>0</v>
      </c>
      <c r="D2996" s="82">
        <v>0</v>
      </c>
    </row>
    <row r="2997" spans="1:4" ht="28.5">
      <c r="A2997" s="78" t="s">
        <v>3274</v>
      </c>
      <c r="B2997" s="76" t="s">
        <v>3275</v>
      </c>
      <c r="C2997" s="81">
        <v>0</v>
      </c>
      <c r="D2997" s="82">
        <v>0</v>
      </c>
    </row>
    <row r="2998" spans="1:4" ht="28.5">
      <c r="A2998" s="78" t="s">
        <v>3276</v>
      </c>
      <c r="B2998" s="76" t="s">
        <v>3277</v>
      </c>
      <c r="C2998" s="81">
        <v>0</v>
      </c>
      <c r="D2998" s="82">
        <v>0</v>
      </c>
    </row>
    <row r="2999" spans="1:4" ht="28.5">
      <c r="A2999" s="78" t="s">
        <v>3278</v>
      </c>
      <c r="B2999" s="76" t="s">
        <v>3279</v>
      </c>
      <c r="C2999" s="81">
        <v>0</v>
      </c>
      <c r="D2999" s="82">
        <v>0</v>
      </c>
    </row>
    <row r="3000" spans="1:4" ht="28.5">
      <c r="A3000" s="78" t="s">
        <v>3280</v>
      </c>
      <c r="B3000" s="76" t="s">
        <v>3281</v>
      </c>
      <c r="C3000" s="81">
        <v>0</v>
      </c>
      <c r="D3000" s="82">
        <v>0</v>
      </c>
    </row>
    <row r="3001" spans="1:4" ht="28.5">
      <c r="A3001" s="78" t="s">
        <v>3282</v>
      </c>
      <c r="B3001" s="76" t="s">
        <v>3283</v>
      </c>
      <c r="C3001" s="81">
        <v>0</v>
      </c>
      <c r="D3001" s="82">
        <v>0</v>
      </c>
    </row>
    <row r="3002" spans="1:4" ht="57">
      <c r="A3002" s="78" t="s">
        <v>3284</v>
      </c>
      <c r="B3002" s="76" t="s">
        <v>3285</v>
      </c>
      <c r="C3002" s="81">
        <v>0</v>
      </c>
      <c r="D3002" s="82">
        <v>0</v>
      </c>
    </row>
    <row r="3003" spans="1:4">
      <c r="A3003" s="78" t="s">
        <v>3286</v>
      </c>
      <c r="B3003" s="76" t="s">
        <v>3287</v>
      </c>
      <c r="C3003" s="81">
        <v>0</v>
      </c>
      <c r="D3003" s="82">
        <v>0</v>
      </c>
    </row>
    <row r="3004" spans="1:4" ht="28.5">
      <c r="A3004" s="78" t="s">
        <v>3288</v>
      </c>
      <c r="B3004" s="76" t="s">
        <v>3289</v>
      </c>
      <c r="C3004" s="81">
        <v>0</v>
      </c>
      <c r="D3004" s="82">
        <v>0</v>
      </c>
    </row>
    <row r="3005" spans="1:4" ht="28.5">
      <c r="A3005" s="78" t="s">
        <v>3290</v>
      </c>
      <c r="B3005" s="76" t="s">
        <v>3291</v>
      </c>
      <c r="C3005" s="81">
        <v>0</v>
      </c>
      <c r="D3005" s="82">
        <v>0</v>
      </c>
    </row>
    <row r="3006" spans="1:4" ht="42.75">
      <c r="A3006" s="78" t="s">
        <v>3292</v>
      </c>
      <c r="B3006" s="76" t="s">
        <v>3293</v>
      </c>
      <c r="C3006" s="81">
        <v>0</v>
      </c>
      <c r="D3006" s="82">
        <v>0</v>
      </c>
    </row>
    <row r="3007" spans="1:4" ht="28.5">
      <c r="A3007" s="78" t="s">
        <v>3294</v>
      </c>
      <c r="B3007" s="76" t="s">
        <v>3295</v>
      </c>
      <c r="C3007" s="81">
        <v>0.97607819600000001</v>
      </c>
      <c r="D3007" s="82">
        <v>0.201241684</v>
      </c>
    </row>
    <row r="3008" spans="1:4" ht="42.75">
      <c r="A3008" s="78" t="s">
        <v>3296</v>
      </c>
      <c r="B3008" s="76" t="s">
        <v>3297</v>
      </c>
      <c r="C3008" s="81">
        <v>0.97607819600000001</v>
      </c>
      <c r="D3008" s="82">
        <v>0.201241684</v>
      </c>
    </row>
    <row r="3009" spans="1:4">
      <c r="A3009" s="78" t="s">
        <v>3298</v>
      </c>
      <c r="B3009" s="76" t="s">
        <v>3299</v>
      </c>
      <c r="C3009" s="81">
        <v>0.97607819600000001</v>
      </c>
      <c r="D3009" s="82">
        <v>0.201241684</v>
      </c>
    </row>
    <row r="3010" spans="1:4" ht="42.75">
      <c r="A3010" s="78" t="s">
        <v>3300</v>
      </c>
      <c r="B3010" s="76" t="s">
        <v>3301</v>
      </c>
      <c r="C3010" s="81">
        <v>0.97607819600000001</v>
      </c>
      <c r="D3010" s="82">
        <v>0.201241684</v>
      </c>
    </row>
    <row r="3011" spans="1:4" ht="42.75">
      <c r="A3011" s="78" t="s">
        <v>3302</v>
      </c>
      <c r="B3011" s="76" t="s">
        <v>3303</v>
      </c>
      <c r="C3011" s="81">
        <v>0.97607819600000001</v>
      </c>
      <c r="D3011" s="82">
        <v>0.201241684</v>
      </c>
    </row>
    <row r="3012" spans="1:4" ht="57">
      <c r="A3012" s="78" t="s">
        <v>3304</v>
      </c>
      <c r="B3012" s="76" t="s">
        <v>3305</v>
      </c>
      <c r="C3012" s="81">
        <v>0.97607819600000001</v>
      </c>
      <c r="D3012" s="82">
        <v>0.201241684</v>
      </c>
    </row>
    <row r="3013" spans="1:4" ht="28.5">
      <c r="A3013" s="78" t="s">
        <v>3306</v>
      </c>
      <c r="B3013" s="76" t="s">
        <v>3307</v>
      </c>
      <c r="C3013" s="81">
        <v>0.97607819600000001</v>
      </c>
      <c r="D3013" s="82">
        <v>0.201241684</v>
      </c>
    </row>
    <row r="3014" spans="1:4">
      <c r="A3014" s="78" t="s">
        <v>841</v>
      </c>
      <c r="B3014" s="76" t="s">
        <v>3308</v>
      </c>
      <c r="C3014" s="81">
        <v>0.97607819600000001</v>
      </c>
      <c r="D3014" s="82">
        <v>0.201241684</v>
      </c>
    </row>
    <row r="3015" spans="1:4" ht="28.5">
      <c r="A3015" s="78" t="s">
        <v>3309</v>
      </c>
      <c r="B3015" s="76" t="s">
        <v>3310</v>
      </c>
      <c r="C3015" s="81">
        <v>0.97607819600000001</v>
      </c>
      <c r="D3015" s="82">
        <v>0.201241684</v>
      </c>
    </row>
    <row r="3016" spans="1:4" ht="28.5">
      <c r="A3016" s="78" t="s">
        <v>3311</v>
      </c>
      <c r="B3016" s="76" t="s">
        <v>3312</v>
      </c>
      <c r="C3016" s="81">
        <v>0.97607819600000001</v>
      </c>
      <c r="D3016" s="82">
        <v>0.201241684</v>
      </c>
    </row>
    <row r="3017" spans="1:4">
      <c r="A3017" s="78" t="s">
        <v>3313</v>
      </c>
      <c r="B3017" s="76" t="s">
        <v>3314</v>
      </c>
      <c r="C3017" s="81">
        <v>0.97607819600000001</v>
      </c>
      <c r="D3017" s="82">
        <v>0.201241684</v>
      </c>
    </row>
    <row r="3018" spans="1:4">
      <c r="A3018" s="78" t="s">
        <v>3315</v>
      </c>
      <c r="B3018" s="76" t="s">
        <v>3316</v>
      </c>
      <c r="C3018" s="81">
        <v>0.97607819600000001</v>
      </c>
      <c r="D3018" s="82">
        <v>0.201241684</v>
      </c>
    </row>
    <row r="3019" spans="1:4" ht="28.5">
      <c r="A3019" s="78" t="s">
        <v>3317</v>
      </c>
      <c r="B3019" s="76" t="s">
        <v>3318</v>
      </c>
      <c r="C3019" s="81">
        <v>0.37080000000000002</v>
      </c>
      <c r="D3019" s="82">
        <v>0.37080000000000002</v>
      </c>
    </row>
    <row r="3020" spans="1:4">
      <c r="A3020" s="78" t="s">
        <v>3319</v>
      </c>
      <c r="B3020" s="76" t="s">
        <v>3320</v>
      </c>
      <c r="C3020" s="81">
        <v>0.37080000000000002</v>
      </c>
      <c r="D3020" s="82">
        <v>0.37080000000000002</v>
      </c>
    </row>
    <row r="3021" spans="1:4" ht="42.75">
      <c r="A3021" s="78" t="s">
        <v>3321</v>
      </c>
      <c r="B3021" s="76" t="s">
        <v>3322</v>
      </c>
      <c r="C3021" s="81">
        <v>0.37080000000000002</v>
      </c>
      <c r="D3021" s="82">
        <v>0.37080000000000002</v>
      </c>
    </row>
    <row r="3022" spans="1:4" ht="28.5">
      <c r="A3022" s="78" t="s">
        <v>3294</v>
      </c>
      <c r="B3022" s="76" t="s">
        <v>3323</v>
      </c>
      <c r="C3022" s="81">
        <v>0.37080000000000002</v>
      </c>
      <c r="D3022" s="82">
        <v>0.37080000000000002</v>
      </c>
    </row>
    <row r="3023" spans="1:4" ht="57">
      <c r="A3023" s="78" t="s">
        <v>3324</v>
      </c>
      <c r="B3023" s="76" t="s">
        <v>3325</v>
      </c>
      <c r="C3023" s="81">
        <v>0.37080000000000002</v>
      </c>
      <c r="D3023" s="82">
        <v>0.37080000000000002</v>
      </c>
    </row>
    <row r="3024" spans="1:4" ht="42.75">
      <c r="A3024" s="78" t="s">
        <v>3326</v>
      </c>
      <c r="B3024" s="76" t="s">
        <v>3327</v>
      </c>
      <c r="C3024" s="81">
        <v>0.37080000000000002</v>
      </c>
      <c r="D3024" s="82">
        <v>0.37080000000000002</v>
      </c>
    </row>
    <row r="3025" spans="1:4" ht="28.5">
      <c r="A3025" s="78" t="s">
        <v>3328</v>
      </c>
      <c r="B3025" s="76" t="s">
        <v>3329</v>
      </c>
      <c r="C3025" s="81">
        <v>0.37080000000000002</v>
      </c>
      <c r="D3025" s="82">
        <v>0.37080000000000002</v>
      </c>
    </row>
    <row r="3026" spans="1:4" ht="28.5">
      <c r="A3026" s="78" t="s">
        <v>3330</v>
      </c>
      <c r="B3026" s="76" t="s">
        <v>3331</v>
      </c>
      <c r="C3026" s="81">
        <v>0.37080000000000002</v>
      </c>
      <c r="D3026" s="82">
        <v>0.37080000000000002</v>
      </c>
    </row>
    <row r="3027" spans="1:4" ht="28.5">
      <c r="A3027" s="78" t="s">
        <v>3332</v>
      </c>
      <c r="B3027" s="76" t="s">
        <v>3333</v>
      </c>
      <c r="C3027" s="81">
        <v>0.37080000000000002</v>
      </c>
      <c r="D3027" s="82">
        <v>0.37080000000000002</v>
      </c>
    </row>
    <row r="3028" spans="1:4" ht="28.5">
      <c r="A3028" s="78" t="s">
        <v>3334</v>
      </c>
      <c r="B3028" s="76" t="s">
        <v>3335</v>
      </c>
      <c r="C3028" s="81">
        <v>0.37080000000000002</v>
      </c>
      <c r="D3028" s="82">
        <v>0.37080000000000002</v>
      </c>
    </row>
    <row r="3029" spans="1:4">
      <c r="A3029" s="78" t="s">
        <v>3336</v>
      </c>
      <c r="B3029" s="76" t="s">
        <v>3337</v>
      </c>
      <c r="C3029" s="81">
        <v>0.37080000000000002</v>
      </c>
      <c r="D3029" s="82">
        <v>0.37080000000000002</v>
      </c>
    </row>
    <row r="3030" spans="1:4" ht="71.25">
      <c r="A3030" s="78" t="s">
        <v>3338</v>
      </c>
      <c r="B3030" s="76" t="s">
        <v>3339</v>
      </c>
      <c r="C3030" s="81">
        <v>0.37080000000000002</v>
      </c>
      <c r="D3030" s="82">
        <v>0.37080000000000002</v>
      </c>
    </row>
    <row r="3031" spans="1:4">
      <c r="A3031" s="78" t="s">
        <v>3340</v>
      </c>
      <c r="B3031" s="76" t="s">
        <v>3341</v>
      </c>
      <c r="C3031" s="81">
        <v>0.37080000000000002</v>
      </c>
      <c r="D3031" s="82">
        <v>0.37080000000000002</v>
      </c>
    </row>
    <row r="3032" spans="1:4">
      <c r="A3032" s="78" t="s">
        <v>3342</v>
      </c>
      <c r="B3032" s="76" t="s">
        <v>3343</v>
      </c>
      <c r="C3032" s="81">
        <v>0.81440000000000001</v>
      </c>
      <c r="D3032" s="82">
        <v>0.81440000000000001</v>
      </c>
    </row>
    <row r="3033" spans="1:4">
      <c r="A3033" s="78" t="s">
        <v>630</v>
      </c>
      <c r="B3033" s="76" t="s">
        <v>3344</v>
      </c>
      <c r="C3033" s="81">
        <v>0</v>
      </c>
      <c r="D3033" s="82">
        <v>0</v>
      </c>
    </row>
    <row r="3034" spans="1:4" ht="28.5">
      <c r="A3034" s="78" t="s">
        <v>3345</v>
      </c>
      <c r="B3034" s="76" t="s">
        <v>3346</v>
      </c>
      <c r="C3034" s="81">
        <v>0</v>
      </c>
      <c r="D3034" s="82">
        <v>0</v>
      </c>
    </row>
    <row r="3035" spans="1:4">
      <c r="A3035" s="78" t="s">
        <v>723</v>
      </c>
      <c r="B3035" s="76" t="s">
        <v>3347</v>
      </c>
      <c r="C3035" s="81">
        <v>0</v>
      </c>
      <c r="D3035" s="82">
        <v>0</v>
      </c>
    </row>
    <row r="3036" spans="1:4" ht="28.5">
      <c r="A3036" s="78" t="s">
        <v>3348</v>
      </c>
      <c r="B3036" s="76" t="s">
        <v>3349</v>
      </c>
      <c r="C3036" s="81">
        <v>0.42709999999999998</v>
      </c>
      <c r="D3036" s="82">
        <v>0.42709999999999998</v>
      </c>
    </row>
    <row r="3037" spans="1:4" ht="28.5">
      <c r="A3037" s="78" t="s">
        <v>3350</v>
      </c>
      <c r="B3037" s="76" t="s">
        <v>3351</v>
      </c>
      <c r="C3037" s="81">
        <v>0.81440000000000001</v>
      </c>
      <c r="D3037" s="82">
        <v>0.81440000000000001</v>
      </c>
    </row>
    <row r="3038" spans="1:4" ht="42.75">
      <c r="A3038" s="78" t="s">
        <v>3352</v>
      </c>
      <c r="B3038" s="76" t="s">
        <v>3353</v>
      </c>
      <c r="C3038" s="81">
        <v>0.59030000000000005</v>
      </c>
      <c r="D3038" s="82">
        <v>0.59030000000000005</v>
      </c>
    </row>
    <row r="3039" spans="1:4" ht="42.75">
      <c r="A3039" s="78" t="s">
        <v>3354</v>
      </c>
      <c r="B3039" s="76" t="s">
        <v>3355</v>
      </c>
      <c r="C3039" s="81">
        <v>0</v>
      </c>
      <c r="D3039" s="82">
        <v>0</v>
      </c>
    </row>
    <row r="3040" spans="1:4" ht="28.5">
      <c r="A3040" s="78" t="s">
        <v>3356</v>
      </c>
      <c r="B3040" s="76" t="s">
        <v>3357</v>
      </c>
      <c r="C3040" s="81">
        <v>0</v>
      </c>
      <c r="D3040" s="82">
        <v>0</v>
      </c>
    </row>
    <row r="3041" spans="1:4" ht="28.5">
      <c r="A3041" s="78" t="s">
        <v>3358</v>
      </c>
      <c r="B3041" s="76" t="s">
        <v>3359</v>
      </c>
      <c r="C3041" s="81">
        <v>0</v>
      </c>
      <c r="D3041" s="82">
        <v>0</v>
      </c>
    </row>
    <row r="3042" spans="1:4" ht="28.5">
      <c r="A3042" s="78" t="s">
        <v>3360</v>
      </c>
      <c r="B3042" s="76" t="s">
        <v>3361</v>
      </c>
      <c r="C3042" s="81">
        <v>0</v>
      </c>
      <c r="D3042" s="82">
        <v>0</v>
      </c>
    </row>
    <row r="3043" spans="1:4" ht="57">
      <c r="A3043" s="78" t="s">
        <v>3362</v>
      </c>
      <c r="B3043" s="76" t="s">
        <v>3363</v>
      </c>
      <c r="C3043" s="81">
        <v>0</v>
      </c>
      <c r="D3043" s="82">
        <v>0</v>
      </c>
    </row>
    <row r="3044" spans="1:4" ht="57">
      <c r="A3044" s="78" t="s">
        <v>3364</v>
      </c>
      <c r="B3044" s="76" t="s">
        <v>3365</v>
      </c>
      <c r="C3044" s="81">
        <v>0</v>
      </c>
      <c r="D3044" s="82">
        <v>0</v>
      </c>
    </row>
    <row r="3045" spans="1:4" ht="57">
      <c r="A3045" s="78" t="s">
        <v>3366</v>
      </c>
      <c r="B3045" s="76" t="s">
        <v>3367</v>
      </c>
      <c r="C3045" s="81">
        <v>0</v>
      </c>
      <c r="D3045" s="82">
        <v>0</v>
      </c>
    </row>
    <row r="3046" spans="1:4" ht="42.75">
      <c r="A3046" s="78" t="s">
        <v>3368</v>
      </c>
      <c r="B3046" s="76" t="s">
        <v>3369</v>
      </c>
      <c r="C3046" s="81">
        <v>0</v>
      </c>
      <c r="D3046" s="82">
        <v>0</v>
      </c>
    </row>
    <row r="3047" spans="1:4" ht="28.5">
      <c r="A3047" s="78" t="s">
        <v>3370</v>
      </c>
      <c r="B3047" s="76" t="s">
        <v>3371</v>
      </c>
      <c r="C3047" s="81">
        <v>0</v>
      </c>
      <c r="D3047" s="82">
        <v>0</v>
      </c>
    </row>
    <row r="3048" spans="1:4" ht="57">
      <c r="A3048" s="78" t="s">
        <v>3372</v>
      </c>
      <c r="B3048" s="76" t="s">
        <v>3373</v>
      </c>
      <c r="C3048" s="81">
        <v>0</v>
      </c>
      <c r="D3048" s="82">
        <v>0</v>
      </c>
    </row>
    <row r="3049" spans="1:4" ht="28.5">
      <c r="A3049" s="78" t="s">
        <v>3374</v>
      </c>
      <c r="B3049" s="76" t="s">
        <v>3375</v>
      </c>
      <c r="C3049" s="81">
        <v>0</v>
      </c>
      <c r="D3049" s="82">
        <v>0</v>
      </c>
    </row>
    <row r="3050" spans="1:4" ht="57">
      <c r="A3050" s="78" t="s">
        <v>3376</v>
      </c>
      <c r="B3050" s="76" t="s">
        <v>3377</v>
      </c>
      <c r="C3050" s="81">
        <v>0</v>
      </c>
      <c r="D3050" s="82">
        <v>0</v>
      </c>
    </row>
    <row r="3051" spans="1:4" ht="42.75">
      <c r="A3051" s="78" t="s">
        <v>3378</v>
      </c>
      <c r="B3051" s="76" t="s">
        <v>3379</v>
      </c>
      <c r="C3051" s="81">
        <v>0</v>
      </c>
      <c r="D3051" s="82">
        <v>0</v>
      </c>
    </row>
    <row r="3052" spans="1:4" ht="57">
      <c r="A3052" s="78" t="s">
        <v>3380</v>
      </c>
      <c r="B3052" s="76" t="s">
        <v>3381</v>
      </c>
      <c r="C3052" s="81">
        <v>0</v>
      </c>
      <c r="D3052" s="82">
        <v>0</v>
      </c>
    </row>
    <row r="3053" spans="1:4" ht="57">
      <c r="A3053" s="78" t="s">
        <v>3382</v>
      </c>
      <c r="B3053" s="76" t="s">
        <v>3383</v>
      </c>
      <c r="C3053" s="81">
        <v>0</v>
      </c>
      <c r="D3053" s="82">
        <v>0</v>
      </c>
    </row>
    <row r="3054" spans="1:4" ht="57">
      <c r="A3054" s="78" t="s">
        <v>3384</v>
      </c>
      <c r="B3054" s="76" t="s">
        <v>3385</v>
      </c>
      <c r="C3054" s="81">
        <v>0</v>
      </c>
      <c r="D3054" s="82">
        <v>0</v>
      </c>
    </row>
    <row r="3055" spans="1:4" ht="28.5">
      <c r="A3055" s="78" t="s">
        <v>3386</v>
      </c>
      <c r="B3055" s="76" t="s">
        <v>3387</v>
      </c>
      <c r="C3055" s="81">
        <v>0</v>
      </c>
      <c r="D3055" s="82">
        <v>0</v>
      </c>
    </row>
    <row r="3056" spans="1:4">
      <c r="A3056" s="78" t="s">
        <v>3388</v>
      </c>
      <c r="B3056" s="76" t="s">
        <v>3389</v>
      </c>
      <c r="C3056" s="81">
        <v>0</v>
      </c>
      <c r="D3056" s="82">
        <v>0</v>
      </c>
    </row>
    <row r="3057" spans="1:4">
      <c r="A3057" s="78" t="s">
        <v>3390</v>
      </c>
      <c r="B3057" s="76" t="s">
        <v>3391</v>
      </c>
      <c r="C3057" s="81">
        <v>0</v>
      </c>
      <c r="D3057" s="82">
        <v>0</v>
      </c>
    </row>
    <row r="3058" spans="1:4" ht="28.5">
      <c r="A3058" s="78" t="s">
        <v>3392</v>
      </c>
      <c r="B3058" s="76" t="s">
        <v>3393</v>
      </c>
      <c r="C3058" s="81">
        <v>0</v>
      </c>
      <c r="D3058" s="82">
        <v>0</v>
      </c>
    </row>
    <row r="3059" spans="1:4" ht="28.5">
      <c r="A3059" s="78" t="s">
        <v>3394</v>
      </c>
      <c r="B3059" s="76" t="s">
        <v>3395</v>
      </c>
      <c r="C3059" s="81">
        <v>0</v>
      </c>
      <c r="D3059" s="82">
        <v>0</v>
      </c>
    </row>
    <row r="3060" spans="1:4" ht="42.75">
      <c r="A3060" s="78" t="s">
        <v>3396</v>
      </c>
      <c r="B3060" s="76" t="s">
        <v>3397</v>
      </c>
      <c r="C3060" s="81">
        <v>0</v>
      </c>
      <c r="D3060" s="82">
        <v>0</v>
      </c>
    </row>
    <row r="3061" spans="1:4" ht="42.75">
      <c r="A3061" s="78" t="s">
        <v>3398</v>
      </c>
      <c r="B3061" s="76" t="s">
        <v>3399</v>
      </c>
      <c r="C3061" s="81">
        <v>0</v>
      </c>
      <c r="D3061" s="82">
        <v>0</v>
      </c>
    </row>
    <row r="3062" spans="1:4" ht="42.75">
      <c r="A3062" s="78" t="s">
        <v>3400</v>
      </c>
      <c r="B3062" s="76" t="s">
        <v>3401</v>
      </c>
      <c r="C3062" s="81">
        <v>0</v>
      </c>
      <c r="D3062" s="82">
        <v>0</v>
      </c>
    </row>
    <row r="3063" spans="1:4" ht="42.75">
      <c r="A3063" s="78" t="s">
        <v>3402</v>
      </c>
      <c r="B3063" s="76" t="s">
        <v>3403</v>
      </c>
      <c r="C3063" s="81">
        <v>0</v>
      </c>
      <c r="D3063" s="82">
        <v>0</v>
      </c>
    </row>
    <row r="3064" spans="1:4" ht="57">
      <c r="A3064" s="78" t="s">
        <v>3404</v>
      </c>
      <c r="B3064" s="76" t="s">
        <v>3405</v>
      </c>
      <c r="C3064" s="81">
        <v>0</v>
      </c>
      <c r="D3064" s="82">
        <v>0</v>
      </c>
    </row>
    <row r="3065" spans="1:4" ht="42.75">
      <c r="A3065" s="78" t="s">
        <v>3406</v>
      </c>
      <c r="B3065" s="76" t="s">
        <v>3407</v>
      </c>
      <c r="C3065" s="81">
        <v>0</v>
      </c>
      <c r="D3065" s="82">
        <v>0</v>
      </c>
    </row>
    <row r="3066" spans="1:4" ht="42.75">
      <c r="A3066" s="78" t="s">
        <v>3408</v>
      </c>
      <c r="B3066" s="76" t="s">
        <v>3409</v>
      </c>
      <c r="C3066" s="81">
        <v>0</v>
      </c>
      <c r="D3066" s="82">
        <v>0</v>
      </c>
    </row>
    <row r="3067" spans="1:4" ht="42.75">
      <c r="A3067" s="78" t="s">
        <v>3410</v>
      </c>
      <c r="B3067" s="76" t="s">
        <v>3411</v>
      </c>
      <c r="C3067" s="81">
        <v>0</v>
      </c>
      <c r="D3067" s="82">
        <v>0</v>
      </c>
    </row>
    <row r="3068" spans="1:4" ht="42.75">
      <c r="A3068" s="78" t="s">
        <v>3412</v>
      </c>
      <c r="B3068" s="76" t="s">
        <v>3413</v>
      </c>
      <c r="C3068" s="81">
        <v>0</v>
      </c>
      <c r="D3068" s="82">
        <v>0</v>
      </c>
    </row>
    <row r="3069" spans="1:4" ht="71.25">
      <c r="A3069" s="78" t="s">
        <v>3414</v>
      </c>
      <c r="B3069" s="76" t="s">
        <v>3415</v>
      </c>
      <c r="C3069" s="81">
        <v>0</v>
      </c>
      <c r="D3069" s="82">
        <v>0</v>
      </c>
    </row>
    <row r="3070" spans="1:4" ht="57">
      <c r="A3070" s="78" t="s">
        <v>3416</v>
      </c>
      <c r="B3070" s="76" t="s">
        <v>3417</v>
      </c>
      <c r="C3070" s="81">
        <v>0</v>
      </c>
      <c r="D3070" s="82">
        <v>0</v>
      </c>
    </row>
    <row r="3071" spans="1:4" ht="71.25">
      <c r="A3071" s="78" t="s">
        <v>3418</v>
      </c>
      <c r="B3071" s="76" t="s">
        <v>3419</v>
      </c>
      <c r="C3071" s="81">
        <v>0</v>
      </c>
      <c r="D3071" s="82">
        <v>0</v>
      </c>
    </row>
    <row r="3072" spans="1:4" ht="57">
      <c r="A3072" s="78" t="s">
        <v>3420</v>
      </c>
      <c r="B3072" s="76" t="s">
        <v>3421</v>
      </c>
      <c r="C3072" s="81">
        <v>0</v>
      </c>
      <c r="D3072" s="82">
        <v>0</v>
      </c>
    </row>
    <row r="3073" spans="1:4" ht="57">
      <c r="A3073" s="78" t="s">
        <v>3422</v>
      </c>
      <c r="B3073" s="76" t="s">
        <v>3423</v>
      </c>
      <c r="C3073" s="81">
        <v>0</v>
      </c>
      <c r="D3073" s="82">
        <v>0</v>
      </c>
    </row>
    <row r="3074" spans="1:4" ht="28.5">
      <c r="A3074" s="78" t="s">
        <v>3424</v>
      </c>
      <c r="B3074" s="76" t="s">
        <v>3425</v>
      </c>
      <c r="C3074" s="81">
        <v>0</v>
      </c>
      <c r="D3074" s="82">
        <v>0</v>
      </c>
    </row>
    <row r="3075" spans="1:4" ht="28.5">
      <c r="A3075" s="78" t="s">
        <v>3426</v>
      </c>
      <c r="B3075" s="76" t="s">
        <v>3427</v>
      </c>
      <c r="C3075" s="81">
        <v>0</v>
      </c>
      <c r="D3075" s="82">
        <v>0</v>
      </c>
    </row>
    <row r="3076" spans="1:4" ht="71.25">
      <c r="A3076" s="78" t="s">
        <v>3428</v>
      </c>
      <c r="B3076" s="76" t="s">
        <v>3429</v>
      </c>
      <c r="C3076" s="81">
        <v>0</v>
      </c>
      <c r="D3076" s="82">
        <v>0</v>
      </c>
    </row>
    <row r="3077" spans="1:4" ht="28.5">
      <c r="A3077" s="78" t="s">
        <v>3430</v>
      </c>
      <c r="B3077" s="76" t="s">
        <v>3431</v>
      </c>
      <c r="C3077" s="81">
        <v>0</v>
      </c>
      <c r="D3077" s="82">
        <v>0</v>
      </c>
    </row>
    <row r="3078" spans="1:4" ht="42.75">
      <c r="A3078" s="78" t="s">
        <v>3432</v>
      </c>
      <c r="B3078" s="76" t="s">
        <v>3433</v>
      </c>
      <c r="C3078" s="81">
        <v>0</v>
      </c>
      <c r="D3078" s="82">
        <v>0</v>
      </c>
    </row>
    <row r="3079" spans="1:4" ht="42.75">
      <c r="A3079" s="78" t="s">
        <v>3434</v>
      </c>
      <c r="B3079" s="76" t="s">
        <v>3435</v>
      </c>
      <c r="C3079" s="81">
        <v>0</v>
      </c>
      <c r="D3079" s="82">
        <v>0</v>
      </c>
    </row>
    <row r="3080" spans="1:4" ht="42.75">
      <c r="A3080" s="78" t="s">
        <v>3436</v>
      </c>
      <c r="B3080" s="76" t="s">
        <v>3437</v>
      </c>
      <c r="C3080" s="81">
        <v>0.97609999999999997</v>
      </c>
      <c r="D3080" s="82">
        <v>0.20119999999999999</v>
      </c>
    </row>
    <row r="3081" spans="1:4" ht="71.25">
      <c r="A3081" s="78" t="s">
        <v>3438</v>
      </c>
      <c r="B3081" s="76" t="s">
        <v>3439</v>
      </c>
      <c r="C3081" s="81">
        <v>0</v>
      </c>
      <c r="D3081" s="82">
        <v>0</v>
      </c>
    </row>
    <row r="3082" spans="1:4" ht="28.5">
      <c r="A3082" s="78" t="s">
        <v>3440</v>
      </c>
      <c r="B3082" s="76" t="s">
        <v>3441</v>
      </c>
      <c r="C3082" s="81">
        <v>0</v>
      </c>
      <c r="D3082" s="82">
        <v>0</v>
      </c>
    </row>
    <row r="3083" spans="1:4" ht="57">
      <c r="A3083" s="78" t="s">
        <v>3442</v>
      </c>
      <c r="B3083" s="76" t="s">
        <v>3443</v>
      </c>
      <c r="C3083" s="81">
        <v>0.97609999999999997</v>
      </c>
      <c r="D3083" s="82">
        <v>0.20119999999999999</v>
      </c>
    </row>
    <row r="3084" spans="1:4">
      <c r="A3084" s="78" t="s">
        <v>3444</v>
      </c>
      <c r="B3084" s="76" t="s">
        <v>3445</v>
      </c>
      <c r="C3084" s="81">
        <v>0</v>
      </c>
      <c r="D3084" s="82">
        <v>0</v>
      </c>
    </row>
    <row r="3085" spans="1:4">
      <c r="A3085" s="78" t="s">
        <v>3446</v>
      </c>
      <c r="B3085" s="76" t="s">
        <v>3447</v>
      </c>
      <c r="C3085" s="81">
        <v>0</v>
      </c>
      <c r="D3085" s="82">
        <v>0</v>
      </c>
    </row>
    <row r="3086" spans="1:4" ht="28.5">
      <c r="A3086" s="78" t="s">
        <v>3448</v>
      </c>
      <c r="B3086" s="76" t="s">
        <v>3449</v>
      </c>
      <c r="C3086" s="81">
        <v>0</v>
      </c>
      <c r="D3086" s="82">
        <v>0</v>
      </c>
    </row>
    <row r="3087" spans="1:4" ht="57">
      <c r="A3087" s="78" t="s">
        <v>3450</v>
      </c>
      <c r="B3087" s="76" t="s">
        <v>3451</v>
      </c>
      <c r="C3087" s="81">
        <v>0</v>
      </c>
      <c r="D3087" s="82">
        <v>0</v>
      </c>
    </row>
    <row r="3088" spans="1:4" ht="28.5">
      <c r="A3088" s="78" t="s">
        <v>3452</v>
      </c>
      <c r="B3088" s="76" t="s">
        <v>3453</v>
      </c>
      <c r="C3088" s="81">
        <v>0</v>
      </c>
      <c r="D3088" s="82">
        <v>0</v>
      </c>
    </row>
    <row r="3089" spans="1:4" ht="28.5">
      <c r="A3089" s="78" t="s">
        <v>3454</v>
      </c>
      <c r="B3089" s="76" t="s">
        <v>3455</v>
      </c>
      <c r="C3089" s="81">
        <v>0</v>
      </c>
      <c r="D3089" s="82">
        <v>0</v>
      </c>
    </row>
    <row r="3090" spans="1:4" ht="28.5">
      <c r="A3090" s="83" t="s">
        <v>3456</v>
      </c>
      <c r="B3090" s="84" t="s">
        <v>3457</v>
      </c>
      <c r="C3090" s="85">
        <v>0</v>
      </c>
      <c r="D3090" s="86">
        <v>0</v>
      </c>
    </row>
    <row r="3091" spans="1:4">
      <c r="A3091" s="78" t="s">
        <v>3458</v>
      </c>
      <c r="B3091" s="76" t="s">
        <v>3459</v>
      </c>
      <c r="C3091" s="81">
        <v>0</v>
      </c>
      <c r="D3091" s="82">
        <v>0</v>
      </c>
    </row>
    <row r="3092" spans="1:4" ht="28.5">
      <c r="A3092" s="78" t="s">
        <v>3460</v>
      </c>
      <c r="B3092" s="76" t="s">
        <v>3461</v>
      </c>
      <c r="C3092" s="81">
        <v>0</v>
      </c>
      <c r="D3092" s="82">
        <v>0</v>
      </c>
    </row>
    <row r="3093" spans="1:4" ht="42.75">
      <c r="A3093" s="78" t="s">
        <v>3462</v>
      </c>
      <c r="B3093" s="76" t="s">
        <v>3463</v>
      </c>
      <c r="C3093" s="81">
        <v>0</v>
      </c>
      <c r="D3093" s="82">
        <v>0</v>
      </c>
    </row>
    <row r="3094" spans="1:4" ht="42.75">
      <c r="A3094" s="78" t="s">
        <v>3464</v>
      </c>
      <c r="B3094" s="76" t="s">
        <v>3465</v>
      </c>
      <c r="C3094" s="81">
        <v>0</v>
      </c>
      <c r="D3094" s="82">
        <v>0</v>
      </c>
    </row>
    <row r="3095" spans="1:4" ht="71.25">
      <c r="A3095" s="78" t="s">
        <v>3466</v>
      </c>
      <c r="B3095" s="76" t="s">
        <v>3467</v>
      </c>
      <c r="C3095" s="81">
        <v>0</v>
      </c>
      <c r="D3095" s="82">
        <v>0</v>
      </c>
    </row>
    <row r="3096" spans="1:4" ht="42.75">
      <c r="A3096" s="78" t="s">
        <v>3468</v>
      </c>
      <c r="B3096" s="76" t="s">
        <v>3469</v>
      </c>
      <c r="C3096" s="81">
        <v>0</v>
      </c>
      <c r="D3096" s="82">
        <v>0</v>
      </c>
    </row>
    <row r="3097" spans="1:4" ht="28.5">
      <c r="A3097" s="78" t="s">
        <v>3470</v>
      </c>
      <c r="B3097" s="76" t="s">
        <v>3471</v>
      </c>
      <c r="C3097" s="81">
        <v>0</v>
      </c>
      <c r="D3097" s="82">
        <v>0</v>
      </c>
    </row>
    <row r="3098" spans="1:4" ht="28.5">
      <c r="A3098" s="78" t="s">
        <v>3472</v>
      </c>
      <c r="B3098" s="76" t="s">
        <v>3473</v>
      </c>
      <c r="C3098" s="81">
        <v>0</v>
      </c>
      <c r="D3098" s="82">
        <v>0</v>
      </c>
    </row>
    <row r="3099" spans="1:4" ht="28.5">
      <c r="A3099" s="78" t="s">
        <v>3474</v>
      </c>
      <c r="B3099" s="76" t="s">
        <v>3475</v>
      </c>
      <c r="C3099" s="81">
        <v>0.97609999999999997</v>
      </c>
      <c r="D3099" s="82">
        <v>0.20119999999999999</v>
      </c>
    </row>
    <row r="3100" spans="1:4" ht="42.75">
      <c r="A3100" s="78" t="s">
        <v>3476</v>
      </c>
      <c r="B3100" s="76" t="s">
        <v>3477</v>
      </c>
      <c r="C3100" s="81">
        <v>0</v>
      </c>
      <c r="D3100" s="82">
        <v>0</v>
      </c>
    </row>
    <row r="3101" spans="1:4" ht="42.75">
      <c r="A3101" s="78" t="s">
        <v>3478</v>
      </c>
      <c r="B3101" s="76" t="s">
        <v>3479</v>
      </c>
      <c r="C3101" s="81">
        <v>0</v>
      </c>
      <c r="D3101" s="82">
        <v>0</v>
      </c>
    </row>
    <row r="3102" spans="1:4" ht="57">
      <c r="A3102" s="78" t="s">
        <v>3480</v>
      </c>
      <c r="B3102" s="76" t="s">
        <v>3481</v>
      </c>
      <c r="C3102" s="81">
        <v>0</v>
      </c>
      <c r="D3102" s="82">
        <v>0</v>
      </c>
    </row>
    <row r="3103" spans="1:4" ht="57">
      <c r="A3103" s="78" t="s">
        <v>3482</v>
      </c>
      <c r="B3103" s="76" t="s">
        <v>3483</v>
      </c>
      <c r="C3103" s="81">
        <v>0</v>
      </c>
      <c r="D3103" s="82">
        <v>0</v>
      </c>
    </row>
    <row r="3104" spans="1:4" ht="42.75">
      <c r="A3104" s="78" t="s">
        <v>3484</v>
      </c>
      <c r="B3104" s="76" t="s">
        <v>3485</v>
      </c>
      <c r="C3104" s="81">
        <v>0</v>
      </c>
      <c r="D3104" s="82">
        <v>0</v>
      </c>
    </row>
    <row r="3105" spans="1:4" ht="71.25">
      <c r="A3105" s="78" t="s">
        <v>3486</v>
      </c>
      <c r="B3105" s="76" t="s">
        <v>3487</v>
      </c>
      <c r="C3105" s="81">
        <v>0</v>
      </c>
      <c r="D3105" s="82">
        <v>0</v>
      </c>
    </row>
    <row r="3106" spans="1:4" ht="57">
      <c r="A3106" s="78" t="s">
        <v>3488</v>
      </c>
      <c r="B3106" s="76" t="s">
        <v>3489</v>
      </c>
      <c r="C3106" s="81">
        <v>0</v>
      </c>
      <c r="D3106" s="82">
        <v>0</v>
      </c>
    </row>
    <row r="3107" spans="1:4" ht="42.75">
      <c r="A3107" s="78" t="s">
        <v>3490</v>
      </c>
      <c r="B3107" s="76" t="s">
        <v>3491</v>
      </c>
      <c r="C3107" s="81">
        <v>0</v>
      </c>
      <c r="D3107" s="82">
        <v>0</v>
      </c>
    </row>
    <row r="3108" spans="1:4" ht="57">
      <c r="A3108" s="78" t="s">
        <v>3492</v>
      </c>
      <c r="B3108" s="76" t="s">
        <v>3493</v>
      </c>
      <c r="C3108" s="81">
        <v>0</v>
      </c>
      <c r="D3108" s="82">
        <v>0</v>
      </c>
    </row>
    <row r="3109" spans="1:4" ht="71.25">
      <c r="A3109" s="78" t="s">
        <v>3494</v>
      </c>
      <c r="B3109" s="76" t="s">
        <v>3495</v>
      </c>
      <c r="C3109" s="81">
        <v>0</v>
      </c>
      <c r="D3109" s="82">
        <v>0</v>
      </c>
    </row>
    <row r="3110" spans="1:4" ht="57">
      <c r="A3110" s="78" t="s">
        <v>3496</v>
      </c>
      <c r="B3110" s="76" t="s">
        <v>3497</v>
      </c>
      <c r="C3110" s="81">
        <v>0</v>
      </c>
      <c r="D3110" s="82">
        <v>0</v>
      </c>
    </row>
    <row r="3111" spans="1:4" ht="42.75">
      <c r="A3111" s="78" t="s">
        <v>3498</v>
      </c>
      <c r="B3111" s="76" t="s">
        <v>3499</v>
      </c>
      <c r="C3111" s="81">
        <v>0</v>
      </c>
      <c r="D3111" s="82">
        <v>0</v>
      </c>
    </row>
    <row r="3112" spans="1:4" ht="42.75">
      <c r="A3112" s="78" t="s">
        <v>3500</v>
      </c>
      <c r="B3112" s="76" t="s">
        <v>3501</v>
      </c>
      <c r="C3112" s="81">
        <v>0</v>
      </c>
      <c r="D3112" s="82">
        <v>0</v>
      </c>
    </row>
    <row r="3113" spans="1:4" ht="42.75">
      <c r="A3113" s="78" t="s">
        <v>3502</v>
      </c>
      <c r="B3113" s="76" t="s">
        <v>3503</v>
      </c>
      <c r="C3113" s="81">
        <v>0</v>
      </c>
      <c r="D3113" s="82">
        <v>0</v>
      </c>
    </row>
    <row r="3114" spans="1:4" ht="28.5">
      <c r="A3114" s="78" t="s">
        <v>3504</v>
      </c>
      <c r="B3114" s="76" t="s">
        <v>3505</v>
      </c>
      <c r="C3114" s="81">
        <v>0</v>
      </c>
      <c r="D3114" s="82">
        <v>0</v>
      </c>
    </row>
    <row r="3115" spans="1:4" ht="28.5">
      <c r="A3115" s="78" t="s">
        <v>3506</v>
      </c>
      <c r="B3115" s="76" t="s">
        <v>3507</v>
      </c>
      <c r="C3115" s="81">
        <v>0</v>
      </c>
      <c r="D3115" s="82">
        <v>0</v>
      </c>
    </row>
    <row r="3116" spans="1:4" ht="28.5">
      <c r="A3116" s="78" t="s">
        <v>3508</v>
      </c>
      <c r="B3116" s="76" t="s">
        <v>3509</v>
      </c>
      <c r="C3116" s="81">
        <v>0</v>
      </c>
      <c r="D3116" s="82">
        <v>0</v>
      </c>
    </row>
    <row r="3117" spans="1:4" ht="42.75">
      <c r="A3117" s="78" t="s">
        <v>3510</v>
      </c>
      <c r="B3117" s="76" t="s">
        <v>3511</v>
      </c>
      <c r="C3117" s="81">
        <v>0</v>
      </c>
      <c r="D3117" s="82">
        <v>0</v>
      </c>
    </row>
    <row r="3118" spans="1:4" ht="57">
      <c r="A3118" s="78" t="s">
        <v>3512</v>
      </c>
      <c r="B3118" s="76" t="s">
        <v>3513</v>
      </c>
      <c r="C3118" s="81">
        <v>0</v>
      </c>
      <c r="D3118" s="82">
        <v>0</v>
      </c>
    </row>
    <row r="3119" spans="1:4" ht="57">
      <c r="A3119" s="78" t="s">
        <v>3514</v>
      </c>
      <c r="B3119" s="76" t="s">
        <v>3515</v>
      </c>
      <c r="C3119" s="81">
        <v>0</v>
      </c>
      <c r="D3119" s="82">
        <v>0</v>
      </c>
    </row>
    <row r="3120" spans="1:4" ht="71.25">
      <c r="A3120" s="78" t="s">
        <v>3516</v>
      </c>
      <c r="B3120" s="76" t="s">
        <v>3517</v>
      </c>
      <c r="C3120" s="81">
        <v>0</v>
      </c>
      <c r="D3120" s="82">
        <v>0</v>
      </c>
    </row>
    <row r="3121" spans="1:4" ht="42.75">
      <c r="A3121" s="78" t="s">
        <v>3518</v>
      </c>
      <c r="B3121" s="76" t="s">
        <v>3519</v>
      </c>
      <c r="C3121" s="81">
        <v>0</v>
      </c>
      <c r="D3121" s="82">
        <v>0</v>
      </c>
    </row>
    <row r="3122" spans="1:4" ht="57">
      <c r="A3122" s="78" t="s">
        <v>3520</v>
      </c>
      <c r="B3122" s="76" t="s">
        <v>3521</v>
      </c>
      <c r="C3122" s="81">
        <v>0</v>
      </c>
      <c r="D3122" s="82">
        <v>0</v>
      </c>
    </row>
    <row r="3123" spans="1:4" ht="42.75">
      <c r="A3123" s="78" t="s">
        <v>3522</v>
      </c>
      <c r="B3123" s="76" t="s">
        <v>3523</v>
      </c>
      <c r="C3123" s="81">
        <v>0</v>
      </c>
      <c r="D3123" s="82">
        <v>0</v>
      </c>
    </row>
    <row r="3124" spans="1:4" ht="85.5">
      <c r="A3124" s="78" t="s">
        <v>3524</v>
      </c>
      <c r="B3124" s="76" t="s">
        <v>3525</v>
      </c>
      <c r="C3124" s="81">
        <v>0</v>
      </c>
      <c r="D3124" s="82">
        <v>0</v>
      </c>
    </row>
    <row r="3125" spans="1:4" ht="85.5">
      <c r="A3125" s="78" t="s">
        <v>3526</v>
      </c>
      <c r="B3125" s="76" t="s">
        <v>3527</v>
      </c>
      <c r="C3125" s="81">
        <v>0</v>
      </c>
      <c r="D3125" s="82">
        <v>0</v>
      </c>
    </row>
    <row r="3126" spans="1:4" ht="57">
      <c r="A3126" s="78" t="s">
        <v>3528</v>
      </c>
      <c r="B3126" s="76" t="s">
        <v>3529</v>
      </c>
      <c r="C3126" s="81">
        <v>0</v>
      </c>
      <c r="D3126" s="82">
        <v>0</v>
      </c>
    </row>
    <row r="3127" spans="1:4" ht="85.5">
      <c r="A3127" s="78" t="s">
        <v>3530</v>
      </c>
      <c r="B3127" s="76" t="s">
        <v>3531</v>
      </c>
      <c r="C3127" s="81">
        <v>0</v>
      </c>
      <c r="D3127" s="82">
        <v>0</v>
      </c>
    </row>
    <row r="3128" spans="1:4" ht="57">
      <c r="A3128" s="78" t="s">
        <v>3532</v>
      </c>
      <c r="B3128" s="76" t="s">
        <v>3533</v>
      </c>
      <c r="C3128" s="81">
        <v>0</v>
      </c>
      <c r="D3128" s="82">
        <v>0</v>
      </c>
    </row>
    <row r="3129" spans="1:4" ht="71.25">
      <c r="A3129" s="78" t="s">
        <v>3534</v>
      </c>
      <c r="B3129" s="76" t="s">
        <v>3535</v>
      </c>
      <c r="C3129" s="81">
        <v>0</v>
      </c>
      <c r="D3129" s="82">
        <v>0</v>
      </c>
    </row>
    <row r="3130" spans="1:4" ht="28.5">
      <c r="A3130" s="78" t="s">
        <v>3536</v>
      </c>
      <c r="B3130" s="76" t="s">
        <v>3537</v>
      </c>
      <c r="C3130" s="81">
        <v>0</v>
      </c>
      <c r="D3130" s="82">
        <v>0</v>
      </c>
    </row>
    <row r="3131" spans="1:4">
      <c r="A3131" s="78" t="s">
        <v>3538</v>
      </c>
      <c r="B3131" s="76" t="s">
        <v>3539</v>
      </c>
      <c r="C3131" s="81">
        <v>0.97609999999999997</v>
      </c>
      <c r="D3131" s="82">
        <v>0.20119999999999999</v>
      </c>
    </row>
    <row r="3132" spans="1:4">
      <c r="A3132" s="78" t="s">
        <v>3540</v>
      </c>
      <c r="B3132" s="76" t="s">
        <v>3541</v>
      </c>
      <c r="C3132" s="81">
        <v>0</v>
      </c>
      <c r="D3132" s="82">
        <v>0</v>
      </c>
    </row>
    <row r="3133" spans="1:4">
      <c r="A3133" s="78" t="s">
        <v>3542</v>
      </c>
      <c r="B3133" s="76" t="s">
        <v>3543</v>
      </c>
      <c r="C3133" s="81">
        <v>0</v>
      </c>
      <c r="D3133" s="82">
        <v>0</v>
      </c>
    </row>
    <row r="3134" spans="1:4">
      <c r="A3134" s="78" t="s">
        <v>3544</v>
      </c>
      <c r="B3134" s="76" t="s">
        <v>3545</v>
      </c>
      <c r="C3134" s="81">
        <v>0</v>
      </c>
      <c r="D3134" s="82">
        <v>0</v>
      </c>
    </row>
    <row r="3135" spans="1:4">
      <c r="A3135" s="78" t="s">
        <v>3546</v>
      </c>
      <c r="B3135" s="76" t="s">
        <v>3547</v>
      </c>
      <c r="C3135" s="81">
        <v>0</v>
      </c>
      <c r="D3135" s="82">
        <v>0</v>
      </c>
    </row>
    <row r="3136" spans="1:4">
      <c r="A3136" s="78" t="s">
        <v>3548</v>
      </c>
      <c r="B3136" s="76" t="s">
        <v>3549</v>
      </c>
      <c r="C3136" s="81">
        <v>0</v>
      </c>
      <c r="D3136" s="82">
        <v>0</v>
      </c>
    </row>
    <row r="3137" spans="1:4">
      <c r="A3137" s="78" t="s">
        <v>3550</v>
      </c>
      <c r="B3137" s="76" t="s">
        <v>3551</v>
      </c>
      <c r="C3137" s="81">
        <v>0</v>
      </c>
      <c r="D3137" s="82">
        <v>0</v>
      </c>
    </row>
    <row r="3138" spans="1:4">
      <c r="A3138" s="78" t="s">
        <v>3552</v>
      </c>
      <c r="B3138" s="76" t="s">
        <v>3553</v>
      </c>
      <c r="C3138" s="81">
        <v>0</v>
      </c>
      <c r="D3138" s="82">
        <v>0</v>
      </c>
    </row>
    <row r="3139" spans="1:4" ht="28.5">
      <c r="A3139" s="78" t="s">
        <v>3554</v>
      </c>
      <c r="B3139" s="76" t="s">
        <v>3555</v>
      </c>
      <c r="C3139" s="81">
        <v>0</v>
      </c>
      <c r="D3139" s="82">
        <v>0</v>
      </c>
    </row>
    <row r="3140" spans="1:4" ht="57">
      <c r="A3140" s="78" t="s">
        <v>3556</v>
      </c>
      <c r="B3140" s="76" t="s">
        <v>3557</v>
      </c>
      <c r="C3140" s="81">
        <v>0</v>
      </c>
      <c r="D3140" s="82">
        <v>0</v>
      </c>
    </row>
    <row r="3141" spans="1:4" ht="28.5">
      <c r="A3141" s="78" t="s">
        <v>3558</v>
      </c>
      <c r="B3141" s="76" t="s">
        <v>3559</v>
      </c>
      <c r="C3141" s="81">
        <v>0</v>
      </c>
      <c r="D3141" s="82">
        <v>0</v>
      </c>
    </row>
    <row r="3142" spans="1:4" ht="99.75">
      <c r="A3142" s="78" t="s">
        <v>3560</v>
      </c>
      <c r="B3142" s="76" t="s">
        <v>3561</v>
      </c>
      <c r="C3142" s="81">
        <v>0</v>
      </c>
      <c r="D3142" s="82">
        <v>0</v>
      </c>
    </row>
    <row r="3143" spans="1:4" ht="114">
      <c r="A3143" s="78" t="s">
        <v>3562</v>
      </c>
      <c r="B3143" s="76" t="s">
        <v>3563</v>
      </c>
      <c r="C3143" s="81">
        <v>0</v>
      </c>
      <c r="D3143" s="82">
        <v>0</v>
      </c>
    </row>
    <row r="3144" spans="1:4" ht="28.5">
      <c r="A3144" s="78" t="s">
        <v>3564</v>
      </c>
      <c r="B3144" s="76" t="s">
        <v>3565</v>
      </c>
      <c r="C3144" s="81">
        <v>0</v>
      </c>
      <c r="D3144" s="82">
        <v>0</v>
      </c>
    </row>
    <row r="3145" spans="1:4" ht="57">
      <c r="A3145" s="78" t="s">
        <v>3566</v>
      </c>
      <c r="B3145" s="76" t="s">
        <v>3567</v>
      </c>
      <c r="C3145" s="81">
        <v>0</v>
      </c>
      <c r="D3145" s="82">
        <v>0</v>
      </c>
    </row>
    <row r="3146" spans="1:4" ht="57">
      <c r="A3146" s="78" t="s">
        <v>3568</v>
      </c>
      <c r="B3146" s="76" t="s">
        <v>3569</v>
      </c>
      <c r="C3146" s="81">
        <v>0</v>
      </c>
      <c r="D3146" s="82">
        <v>0</v>
      </c>
    </row>
    <row r="3147" spans="1:4" ht="42.75">
      <c r="A3147" s="78" t="s">
        <v>3570</v>
      </c>
      <c r="B3147" s="76" t="s">
        <v>3571</v>
      </c>
      <c r="C3147" s="81">
        <v>0</v>
      </c>
      <c r="D3147" s="82">
        <v>0</v>
      </c>
    </row>
    <row r="3148" spans="1:4" ht="42.75">
      <c r="A3148" s="78" t="s">
        <v>3572</v>
      </c>
      <c r="B3148" s="76" t="s">
        <v>3573</v>
      </c>
      <c r="C3148" s="81">
        <v>0</v>
      </c>
      <c r="D3148" s="82">
        <v>0</v>
      </c>
    </row>
    <row r="3149" spans="1:4" ht="57">
      <c r="A3149" s="78" t="s">
        <v>3574</v>
      </c>
      <c r="B3149" s="76" t="s">
        <v>3575</v>
      </c>
      <c r="C3149" s="81">
        <v>0</v>
      </c>
      <c r="D3149" s="82">
        <v>0</v>
      </c>
    </row>
    <row r="3150" spans="1:4" ht="42.75">
      <c r="A3150" s="78" t="s">
        <v>3576</v>
      </c>
      <c r="B3150" s="76" t="s">
        <v>3577</v>
      </c>
      <c r="C3150" s="81">
        <v>0</v>
      </c>
      <c r="D3150" s="82">
        <v>0</v>
      </c>
    </row>
    <row r="3151" spans="1:4" ht="71.25">
      <c r="A3151" s="78" t="s">
        <v>3578</v>
      </c>
      <c r="B3151" s="76" t="s">
        <v>3579</v>
      </c>
      <c r="C3151" s="81">
        <v>0</v>
      </c>
      <c r="D3151" s="82">
        <v>0</v>
      </c>
    </row>
    <row r="3152" spans="1:4" ht="57">
      <c r="A3152" s="78" t="s">
        <v>3580</v>
      </c>
      <c r="B3152" s="76" t="s">
        <v>3581</v>
      </c>
      <c r="C3152" s="81">
        <v>0</v>
      </c>
      <c r="D3152" s="82">
        <v>0</v>
      </c>
    </row>
    <row r="3153" spans="1:4" ht="42.75">
      <c r="A3153" s="78" t="s">
        <v>3582</v>
      </c>
      <c r="B3153" s="76" t="s">
        <v>3583</v>
      </c>
      <c r="C3153" s="81">
        <v>0</v>
      </c>
      <c r="D3153" s="82">
        <v>0</v>
      </c>
    </row>
    <row r="3154" spans="1:4" ht="57">
      <c r="A3154" s="78" t="s">
        <v>3584</v>
      </c>
      <c r="B3154" s="76" t="s">
        <v>3585</v>
      </c>
      <c r="C3154" s="81">
        <v>0</v>
      </c>
      <c r="D3154" s="82">
        <v>0</v>
      </c>
    </row>
    <row r="3155" spans="1:4" ht="57">
      <c r="A3155" s="78" t="s">
        <v>3586</v>
      </c>
      <c r="B3155" s="76" t="s">
        <v>3587</v>
      </c>
      <c r="C3155" s="81">
        <v>0</v>
      </c>
      <c r="D3155" s="82">
        <v>0</v>
      </c>
    </row>
    <row r="3156" spans="1:4" ht="42.75">
      <c r="A3156" s="78" t="s">
        <v>3588</v>
      </c>
      <c r="B3156" s="76" t="s">
        <v>3589</v>
      </c>
      <c r="C3156" s="81">
        <v>0</v>
      </c>
      <c r="D3156" s="82">
        <v>0</v>
      </c>
    </row>
    <row r="3157" spans="1:4" ht="57">
      <c r="A3157" s="78" t="s">
        <v>3590</v>
      </c>
      <c r="B3157" s="76" t="s">
        <v>3591</v>
      </c>
      <c r="C3157" s="81">
        <v>0</v>
      </c>
      <c r="D3157" s="82">
        <v>0</v>
      </c>
    </row>
    <row r="3158" spans="1:4" ht="42.75">
      <c r="A3158" s="78" t="s">
        <v>3592</v>
      </c>
      <c r="B3158" s="76" t="s">
        <v>3593</v>
      </c>
      <c r="C3158" s="81">
        <v>0</v>
      </c>
      <c r="D3158" s="82">
        <v>0</v>
      </c>
    </row>
    <row r="3159" spans="1:4" ht="42.75">
      <c r="A3159" s="78" t="s">
        <v>3594</v>
      </c>
      <c r="B3159" s="76" t="s">
        <v>3595</v>
      </c>
      <c r="C3159" s="81">
        <v>0</v>
      </c>
      <c r="D3159" s="82">
        <v>0</v>
      </c>
    </row>
    <row r="3160" spans="1:4" ht="57">
      <c r="A3160" s="78" t="s">
        <v>3596</v>
      </c>
      <c r="B3160" s="76" t="s">
        <v>3597</v>
      </c>
      <c r="C3160" s="81">
        <v>0</v>
      </c>
      <c r="D3160" s="82">
        <v>0</v>
      </c>
    </row>
    <row r="3161" spans="1:4" ht="42.75">
      <c r="A3161" s="78" t="s">
        <v>3598</v>
      </c>
      <c r="B3161" s="76" t="s">
        <v>3599</v>
      </c>
      <c r="C3161" s="81">
        <v>0</v>
      </c>
      <c r="D3161" s="82">
        <v>0</v>
      </c>
    </row>
    <row r="3162" spans="1:4" ht="28.5">
      <c r="A3162" s="78" t="s">
        <v>3600</v>
      </c>
      <c r="B3162" s="76" t="s">
        <v>3601</v>
      </c>
      <c r="C3162" s="81">
        <v>0</v>
      </c>
      <c r="D3162" s="82">
        <v>0</v>
      </c>
    </row>
    <row r="3163" spans="1:4" ht="85.5">
      <c r="A3163" s="78" t="s">
        <v>3602</v>
      </c>
      <c r="B3163" s="76" t="s">
        <v>3603</v>
      </c>
      <c r="C3163" s="81">
        <v>0</v>
      </c>
      <c r="D3163" s="82">
        <v>0</v>
      </c>
    </row>
    <row r="3164" spans="1:4" ht="57">
      <c r="A3164" s="78" t="s">
        <v>3604</v>
      </c>
      <c r="B3164" s="76" t="s">
        <v>3605</v>
      </c>
      <c r="C3164" s="81">
        <v>0</v>
      </c>
      <c r="D3164" s="82">
        <v>0</v>
      </c>
    </row>
    <row r="3165" spans="1:4" ht="42.75">
      <c r="A3165" s="78" t="s">
        <v>3606</v>
      </c>
      <c r="B3165" s="76" t="s">
        <v>3607</v>
      </c>
      <c r="C3165" s="81">
        <v>0</v>
      </c>
      <c r="D3165" s="82">
        <v>0</v>
      </c>
    </row>
    <row r="3166" spans="1:4" ht="28.5">
      <c r="A3166" s="78" t="s">
        <v>3554</v>
      </c>
      <c r="B3166" s="76" t="s">
        <v>3608</v>
      </c>
      <c r="C3166" s="81">
        <v>0</v>
      </c>
      <c r="D3166" s="82">
        <v>0</v>
      </c>
    </row>
    <row r="3167" spans="1:4">
      <c r="A3167" s="78" t="s">
        <v>3609</v>
      </c>
      <c r="B3167" s="76" t="s">
        <v>3610</v>
      </c>
      <c r="C3167" s="81">
        <v>0</v>
      </c>
      <c r="D3167" s="82">
        <v>0</v>
      </c>
    </row>
    <row r="3168" spans="1:4" ht="57">
      <c r="A3168" s="78" t="s">
        <v>3611</v>
      </c>
      <c r="B3168" s="76" t="s">
        <v>3612</v>
      </c>
      <c r="C3168" s="81">
        <v>1.0182</v>
      </c>
      <c r="D3168" s="82">
        <v>1.0182</v>
      </c>
    </row>
    <row r="3169" spans="1:4" ht="85.5">
      <c r="A3169" s="78" t="s">
        <v>3613</v>
      </c>
      <c r="B3169" s="76" t="s">
        <v>3614</v>
      </c>
      <c r="C3169" s="81">
        <v>0</v>
      </c>
      <c r="D3169" s="82">
        <v>0</v>
      </c>
    </row>
    <row r="3170" spans="1:4" ht="85.5">
      <c r="A3170" s="78" t="s">
        <v>3615</v>
      </c>
      <c r="B3170" s="76" t="s">
        <v>3616</v>
      </c>
      <c r="C3170" s="81">
        <v>0</v>
      </c>
      <c r="D3170" s="82">
        <v>0</v>
      </c>
    </row>
    <row r="3171" spans="1:4" ht="57">
      <c r="A3171" s="78" t="s">
        <v>3617</v>
      </c>
      <c r="B3171" s="76" t="s">
        <v>3618</v>
      </c>
      <c r="C3171" s="81">
        <v>0</v>
      </c>
      <c r="D3171" s="82">
        <v>0</v>
      </c>
    </row>
    <row r="3172" spans="1:4" ht="71.25">
      <c r="A3172" s="78" t="s">
        <v>3619</v>
      </c>
      <c r="B3172" s="76" t="s">
        <v>3620</v>
      </c>
      <c r="C3172" s="81">
        <v>0</v>
      </c>
      <c r="D3172" s="82">
        <v>0</v>
      </c>
    </row>
    <row r="3173" spans="1:4" ht="71.25">
      <c r="A3173" s="78" t="s">
        <v>3621</v>
      </c>
      <c r="B3173" s="76" t="s">
        <v>3622</v>
      </c>
      <c r="C3173" s="81">
        <v>0</v>
      </c>
      <c r="D3173" s="82">
        <v>0</v>
      </c>
    </row>
    <row r="3174" spans="1:4" ht="71.25">
      <c r="A3174" s="78" t="s">
        <v>3623</v>
      </c>
      <c r="B3174" s="76" t="s">
        <v>3624</v>
      </c>
      <c r="C3174" s="81">
        <v>0</v>
      </c>
      <c r="D3174" s="82">
        <v>0</v>
      </c>
    </row>
    <row r="3175" spans="1:4" ht="71.25">
      <c r="A3175" s="78" t="s">
        <v>3625</v>
      </c>
      <c r="B3175" s="76" t="s">
        <v>3626</v>
      </c>
      <c r="C3175" s="81">
        <v>0</v>
      </c>
      <c r="D3175" s="82">
        <v>0</v>
      </c>
    </row>
    <row r="3176" spans="1:4" ht="71.25">
      <c r="A3176" s="78" t="s">
        <v>3627</v>
      </c>
      <c r="B3176" s="76" t="s">
        <v>3628</v>
      </c>
      <c r="C3176" s="81">
        <v>0</v>
      </c>
      <c r="D3176" s="82">
        <v>0</v>
      </c>
    </row>
    <row r="3177" spans="1:4" ht="71.25">
      <c r="A3177" s="78" t="s">
        <v>3629</v>
      </c>
      <c r="B3177" s="76" t="s">
        <v>3630</v>
      </c>
      <c r="C3177" s="81">
        <v>0</v>
      </c>
      <c r="D3177" s="82">
        <v>0</v>
      </c>
    </row>
    <row r="3178" spans="1:4" ht="28.5">
      <c r="A3178" s="78" t="s">
        <v>3631</v>
      </c>
      <c r="B3178" s="76" t="s">
        <v>3632</v>
      </c>
      <c r="C3178" s="81">
        <v>0</v>
      </c>
      <c r="D3178" s="82">
        <v>0</v>
      </c>
    </row>
    <row r="3179" spans="1:4" ht="42.75">
      <c r="A3179" s="78" t="s">
        <v>3633</v>
      </c>
      <c r="B3179" s="76" t="s">
        <v>3634</v>
      </c>
      <c r="C3179" s="81">
        <v>0</v>
      </c>
      <c r="D3179" s="82">
        <v>0</v>
      </c>
    </row>
    <row r="3180" spans="1:4" ht="28.5">
      <c r="A3180" s="78" t="s">
        <v>3635</v>
      </c>
      <c r="B3180" s="76" t="s">
        <v>3636</v>
      </c>
      <c r="C3180" s="81">
        <v>0</v>
      </c>
      <c r="D3180" s="82">
        <v>0</v>
      </c>
    </row>
    <row r="3181" spans="1:4">
      <c r="A3181" s="78" t="s">
        <v>3637</v>
      </c>
      <c r="B3181" s="76" t="s">
        <v>3638</v>
      </c>
      <c r="C3181" s="81">
        <v>0</v>
      </c>
      <c r="D3181" s="82">
        <v>0</v>
      </c>
    </row>
    <row r="3182" spans="1:4">
      <c r="A3182" s="78" t="s">
        <v>3639</v>
      </c>
      <c r="B3182" s="76" t="s">
        <v>3640</v>
      </c>
      <c r="C3182" s="81">
        <v>0</v>
      </c>
      <c r="D3182" s="82">
        <v>0</v>
      </c>
    </row>
    <row r="3183" spans="1:4">
      <c r="A3183" s="78" t="s">
        <v>3641</v>
      </c>
      <c r="B3183" s="76" t="s">
        <v>3642</v>
      </c>
      <c r="C3183" s="81">
        <v>0</v>
      </c>
      <c r="D3183" s="82">
        <v>0</v>
      </c>
    </row>
    <row r="3184" spans="1:4">
      <c r="A3184" s="78" t="s">
        <v>3643</v>
      </c>
      <c r="B3184" s="76" t="s">
        <v>3644</v>
      </c>
      <c r="C3184" s="81">
        <v>0</v>
      </c>
      <c r="D3184" s="82">
        <v>0</v>
      </c>
    </row>
    <row r="3185" spans="1:4">
      <c r="A3185" s="78" t="s">
        <v>3645</v>
      </c>
      <c r="B3185" s="76" t="s">
        <v>3646</v>
      </c>
      <c r="C3185" s="81">
        <v>0</v>
      </c>
      <c r="D3185" s="82">
        <v>0</v>
      </c>
    </row>
    <row r="3186" spans="1:4">
      <c r="A3186" s="78" t="s">
        <v>3647</v>
      </c>
      <c r="B3186" s="76" t="s">
        <v>3648</v>
      </c>
      <c r="C3186" s="81">
        <v>0</v>
      </c>
      <c r="D3186" s="82">
        <v>0</v>
      </c>
    </row>
    <row r="3187" spans="1:4">
      <c r="A3187" s="78" t="s">
        <v>3649</v>
      </c>
      <c r="B3187" s="76" t="s">
        <v>3650</v>
      </c>
      <c r="C3187" s="81">
        <v>0</v>
      </c>
      <c r="D3187" s="82">
        <v>0</v>
      </c>
    </row>
    <row r="3188" spans="1:4">
      <c r="A3188" s="78" t="s">
        <v>3651</v>
      </c>
      <c r="B3188" s="76" t="s">
        <v>3652</v>
      </c>
      <c r="C3188" s="81">
        <v>0</v>
      </c>
      <c r="D3188" s="82">
        <v>0</v>
      </c>
    </row>
    <row r="3189" spans="1:4" ht="42.75">
      <c r="A3189" s="78" t="s">
        <v>3653</v>
      </c>
      <c r="B3189" s="76" t="s">
        <v>3654</v>
      </c>
      <c r="C3189" s="81">
        <v>0</v>
      </c>
      <c r="D3189" s="82">
        <v>0</v>
      </c>
    </row>
    <row r="3190" spans="1:4" ht="42.75">
      <c r="A3190" s="78" t="s">
        <v>3655</v>
      </c>
      <c r="B3190" s="76" t="s">
        <v>3656</v>
      </c>
      <c r="C3190" s="81">
        <v>0</v>
      </c>
      <c r="D3190" s="82">
        <v>0</v>
      </c>
    </row>
    <row r="3191" spans="1:4" ht="28.5">
      <c r="A3191" s="78" t="s">
        <v>3657</v>
      </c>
      <c r="B3191" s="76" t="s">
        <v>3658</v>
      </c>
      <c r="C3191" s="81">
        <v>0</v>
      </c>
      <c r="D3191" s="82">
        <v>0</v>
      </c>
    </row>
    <row r="3192" spans="1:4" ht="28.5">
      <c r="A3192" s="78" t="s">
        <v>3659</v>
      </c>
      <c r="B3192" s="76" t="s">
        <v>3660</v>
      </c>
      <c r="C3192" s="81">
        <v>0</v>
      </c>
      <c r="D3192" s="82">
        <v>0</v>
      </c>
    </row>
    <row r="3193" spans="1:4">
      <c r="A3193" s="78" t="s">
        <v>3661</v>
      </c>
      <c r="B3193" s="76" t="s">
        <v>3662</v>
      </c>
      <c r="C3193" s="81">
        <v>0</v>
      </c>
      <c r="D3193" s="82">
        <v>0</v>
      </c>
    </row>
    <row r="3194" spans="1:4" ht="28.5">
      <c r="A3194" s="78" t="s">
        <v>3663</v>
      </c>
      <c r="B3194" s="76" t="s">
        <v>3664</v>
      </c>
      <c r="C3194" s="81">
        <v>0</v>
      </c>
      <c r="D3194" s="82">
        <v>0</v>
      </c>
    </row>
    <row r="3195" spans="1:4" ht="28.5">
      <c r="A3195" s="78" t="s">
        <v>3665</v>
      </c>
      <c r="B3195" s="76" t="s">
        <v>3666</v>
      </c>
      <c r="C3195" s="81">
        <v>0</v>
      </c>
      <c r="D3195" s="82">
        <v>0</v>
      </c>
    </row>
    <row r="3196" spans="1:4" ht="28.5">
      <c r="A3196" s="78" t="s">
        <v>3667</v>
      </c>
      <c r="B3196" s="76" t="s">
        <v>3668</v>
      </c>
      <c r="C3196" s="81">
        <v>0</v>
      </c>
      <c r="D3196" s="82">
        <v>0</v>
      </c>
    </row>
    <row r="3197" spans="1:4" ht="28.5">
      <c r="A3197" s="78" t="s">
        <v>3669</v>
      </c>
      <c r="B3197" s="76" t="s">
        <v>3670</v>
      </c>
      <c r="C3197" s="81">
        <v>0</v>
      </c>
      <c r="D3197" s="82">
        <v>0</v>
      </c>
    </row>
    <row r="3198" spans="1:4" ht="28.5">
      <c r="A3198" s="78" t="s">
        <v>3671</v>
      </c>
      <c r="B3198" s="76" t="s">
        <v>3672</v>
      </c>
      <c r="C3198" s="81">
        <v>0</v>
      </c>
      <c r="D3198" s="82">
        <v>0</v>
      </c>
    </row>
    <row r="3199" spans="1:4" ht="28.5">
      <c r="A3199" s="78" t="s">
        <v>3673</v>
      </c>
      <c r="B3199" s="76" t="s">
        <v>3674</v>
      </c>
      <c r="C3199" s="81">
        <v>0</v>
      </c>
      <c r="D3199" s="82">
        <v>0</v>
      </c>
    </row>
    <row r="3200" spans="1:4" ht="28.5">
      <c r="A3200" s="78" t="s">
        <v>3675</v>
      </c>
      <c r="B3200" s="76" t="s">
        <v>3676</v>
      </c>
      <c r="C3200" s="81">
        <v>0</v>
      </c>
      <c r="D3200" s="82">
        <v>0</v>
      </c>
    </row>
    <row r="3201" spans="1:4" ht="28.5">
      <c r="A3201" s="78" t="s">
        <v>2704</v>
      </c>
      <c r="B3201" s="76" t="s">
        <v>3677</v>
      </c>
      <c r="C3201" s="81">
        <v>0</v>
      </c>
      <c r="D3201" s="82">
        <v>0</v>
      </c>
    </row>
    <row r="3202" spans="1:4">
      <c r="A3202" s="78" t="s">
        <v>3678</v>
      </c>
      <c r="B3202" s="76" t="s">
        <v>3679</v>
      </c>
      <c r="C3202" s="81">
        <v>0</v>
      </c>
      <c r="D3202" s="82">
        <v>0</v>
      </c>
    </row>
    <row r="3203" spans="1:4">
      <c r="A3203" s="78" t="s">
        <v>3680</v>
      </c>
      <c r="B3203" s="76" t="s">
        <v>3681</v>
      </c>
      <c r="C3203" s="81">
        <v>0</v>
      </c>
      <c r="D3203" s="82">
        <v>0</v>
      </c>
    </row>
    <row r="3204" spans="1:4" ht="28.5">
      <c r="A3204" s="78" t="s">
        <v>3682</v>
      </c>
      <c r="B3204" s="76" t="s">
        <v>3683</v>
      </c>
      <c r="C3204" s="81">
        <v>0</v>
      </c>
      <c r="D3204" s="82">
        <v>0</v>
      </c>
    </row>
    <row r="3205" spans="1:4" ht="42.75">
      <c r="A3205" s="78" t="s">
        <v>3684</v>
      </c>
      <c r="B3205" s="76" t="s">
        <v>3685</v>
      </c>
      <c r="C3205" s="81">
        <v>0</v>
      </c>
      <c r="D3205" s="82">
        <v>0</v>
      </c>
    </row>
    <row r="3206" spans="1:4" ht="42.75">
      <c r="A3206" s="78" t="s">
        <v>3686</v>
      </c>
      <c r="B3206" s="76" t="s">
        <v>3687</v>
      </c>
      <c r="C3206" s="81">
        <v>0</v>
      </c>
      <c r="D3206" s="82">
        <v>0</v>
      </c>
    </row>
    <row r="3207" spans="1:4" ht="42.75">
      <c r="A3207" s="78" t="s">
        <v>3688</v>
      </c>
      <c r="B3207" s="76" t="s">
        <v>3689</v>
      </c>
      <c r="C3207" s="81">
        <v>0</v>
      </c>
      <c r="D3207" s="82">
        <v>0</v>
      </c>
    </row>
    <row r="3208" spans="1:4" ht="42.75">
      <c r="A3208" s="78" t="s">
        <v>3690</v>
      </c>
      <c r="B3208" s="76" t="s">
        <v>3691</v>
      </c>
      <c r="C3208" s="81">
        <v>0</v>
      </c>
      <c r="D3208" s="82">
        <v>0</v>
      </c>
    </row>
    <row r="3209" spans="1:4" ht="28.5">
      <c r="A3209" s="78" t="s">
        <v>3692</v>
      </c>
      <c r="B3209" s="76" t="s">
        <v>3693</v>
      </c>
      <c r="C3209" s="81">
        <v>0</v>
      </c>
      <c r="D3209" s="82">
        <v>0</v>
      </c>
    </row>
    <row r="3210" spans="1:4" ht="42.75">
      <c r="A3210" s="78" t="s">
        <v>3694</v>
      </c>
      <c r="B3210" s="76" t="s">
        <v>3695</v>
      </c>
      <c r="C3210" s="81">
        <v>0</v>
      </c>
      <c r="D3210" s="82">
        <v>0</v>
      </c>
    </row>
    <row r="3211" spans="1:4" ht="57">
      <c r="A3211" s="78" t="s">
        <v>3696</v>
      </c>
      <c r="B3211" s="76" t="s">
        <v>3697</v>
      </c>
      <c r="C3211" s="81">
        <v>1.4480999999999999</v>
      </c>
      <c r="D3211" s="82">
        <v>1.4480999999999999</v>
      </c>
    </row>
    <row r="3212" spans="1:4" ht="28.5">
      <c r="A3212" s="78" t="s">
        <v>3698</v>
      </c>
      <c r="B3212" s="76" t="s">
        <v>3699</v>
      </c>
      <c r="C3212" s="81">
        <v>0</v>
      </c>
      <c r="D3212" s="82">
        <v>0</v>
      </c>
    </row>
    <row r="3213" spans="1:4" ht="42.75">
      <c r="A3213" s="78" t="s">
        <v>3700</v>
      </c>
      <c r="B3213" s="76" t="s">
        <v>3701</v>
      </c>
      <c r="C3213" s="81">
        <v>0</v>
      </c>
      <c r="D3213" s="82">
        <v>0</v>
      </c>
    </row>
    <row r="3214" spans="1:4" ht="42.75">
      <c r="A3214" s="78" t="s">
        <v>3702</v>
      </c>
      <c r="B3214" s="76" t="s">
        <v>3703</v>
      </c>
      <c r="C3214" s="81">
        <v>0</v>
      </c>
      <c r="D3214" s="82">
        <v>0</v>
      </c>
    </row>
    <row r="3215" spans="1:4" ht="42.75">
      <c r="A3215" s="78" t="s">
        <v>3704</v>
      </c>
      <c r="B3215" s="76" t="s">
        <v>3705</v>
      </c>
      <c r="C3215" s="81">
        <v>0</v>
      </c>
      <c r="D3215" s="82">
        <v>0</v>
      </c>
    </row>
    <row r="3216" spans="1:4" ht="57">
      <c r="A3216" s="78" t="s">
        <v>3706</v>
      </c>
      <c r="B3216" s="76" t="s">
        <v>3707</v>
      </c>
      <c r="C3216" s="81">
        <v>0</v>
      </c>
      <c r="D3216" s="82">
        <v>0</v>
      </c>
    </row>
    <row r="3217" spans="1:4" ht="42.75">
      <c r="A3217" s="78" t="s">
        <v>3708</v>
      </c>
      <c r="B3217" s="76" t="s">
        <v>3709</v>
      </c>
      <c r="C3217" s="81">
        <v>0</v>
      </c>
      <c r="D3217" s="82">
        <v>0</v>
      </c>
    </row>
    <row r="3218" spans="1:4" ht="28.5">
      <c r="A3218" s="78" t="s">
        <v>3710</v>
      </c>
      <c r="B3218" s="76" t="s">
        <v>3711</v>
      </c>
      <c r="C3218" s="81">
        <v>1.4480999999999999</v>
      </c>
      <c r="D3218" s="82">
        <v>3.3399999999999999E-2</v>
      </c>
    </row>
    <row r="3219" spans="1:4" ht="28.5">
      <c r="A3219" s="78" t="s">
        <v>3712</v>
      </c>
      <c r="B3219" s="76" t="s">
        <v>3713</v>
      </c>
      <c r="C3219" s="81">
        <v>1.4480999999999999</v>
      </c>
      <c r="D3219" s="82">
        <v>3.3399999999999999E-2</v>
      </c>
    </row>
    <row r="3220" spans="1:4">
      <c r="A3220" s="78" t="s">
        <v>3714</v>
      </c>
      <c r="B3220" s="76" t="s">
        <v>3715</v>
      </c>
      <c r="C3220" s="81">
        <v>0</v>
      </c>
      <c r="D3220" s="82">
        <v>0</v>
      </c>
    </row>
    <row r="3221" spans="1:4">
      <c r="A3221" s="78" t="s">
        <v>3716</v>
      </c>
      <c r="B3221" s="76" t="s">
        <v>3717</v>
      </c>
      <c r="C3221" s="81">
        <v>0</v>
      </c>
      <c r="D3221" s="82">
        <v>0</v>
      </c>
    </row>
    <row r="3222" spans="1:4" ht="28.5">
      <c r="A3222" s="78" t="s">
        <v>3718</v>
      </c>
      <c r="B3222" s="76" t="s">
        <v>3719</v>
      </c>
      <c r="C3222" s="81">
        <v>0</v>
      </c>
      <c r="D3222" s="82">
        <v>0</v>
      </c>
    </row>
    <row r="3223" spans="1:4" ht="28.5">
      <c r="A3223" s="78" t="s">
        <v>3720</v>
      </c>
      <c r="B3223" s="76" t="s">
        <v>3721</v>
      </c>
      <c r="C3223" s="81">
        <v>0</v>
      </c>
      <c r="D3223" s="82">
        <v>0</v>
      </c>
    </row>
    <row r="3224" spans="1:4" ht="28.5">
      <c r="A3224" s="78" t="s">
        <v>3722</v>
      </c>
      <c r="B3224" s="76" t="s">
        <v>3723</v>
      </c>
      <c r="C3224" s="81">
        <v>0</v>
      </c>
      <c r="D3224" s="82">
        <v>0</v>
      </c>
    </row>
    <row r="3225" spans="1:4" ht="28.5">
      <c r="A3225" s="78" t="s">
        <v>3724</v>
      </c>
      <c r="B3225" s="76" t="s">
        <v>3725</v>
      </c>
      <c r="C3225" s="81">
        <v>0</v>
      </c>
      <c r="D3225" s="82">
        <v>0</v>
      </c>
    </row>
    <row r="3226" spans="1:4" ht="42.75">
      <c r="A3226" s="78" t="s">
        <v>3726</v>
      </c>
      <c r="B3226" s="76" t="s">
        <v>3727</v>
      </c>
      <c r="C3226" s="81">
        <v>0</v>
      </c>
      <c r="D3226" s="82">
        <v>0</v>
      </c>
    </row>
    <row r="3227" spans="1:4">
      <c r="A3227" s="78" t="s">
        <v>3728</v>
      </c>
      <c r="B3227" s="76" t="s">
        <v>3729</v>
      </c>
      <c r="C3227" s="81">
        <v>0</v>
      </c>
      <c r="D3227" s="82">
        <v>0</v>
      </c>
    </row>
    <row r="3228" spans="1:4">
      <c r="A3228" s="78" t="s">
        <v>3730</v>
      </c>
      <c r="B3228" s="76" t="s">
        <v>3731</v>
      </c>
      <c r="C3228" s="81">
        <v>0</v>
      </c>
      <c r="D3228" s="82">
        <v>0</v>
      </c>
    </row>
    <row r="3229" spans="1:4">
      <c r="A3229" s="78" t="s">
        <v>3732</v>
      </c>
      <c r="B3229" s="76" t="s">
        <v>3733</v>
      </c>
      <c r="C3229" s="81">
        <v>0</v>
      </c>
      <c r="D3229" s="82">
        <v>0</v>
      </c>
    </row>
    <row r="3230" spans="1:4">
      <c r="A3230" s="78" t="s">
        <v>3734</v>
      </c>
      <c r="B3230" s="76" t="s">
        <v>3735</v>
      </c>
      <c r="C3230" s="81">
        <v>0</v>
      </c>
      <c r="D3230" s="82">
        <v>0</v>
      </c>
    </row>
    <row r="3231" spans="1:4">
      <c r="A3231" s="78" t="s">
        <v>3736</v>
      </c>
      <c r="B3231" s="76" t="s">
        <v>3737</v>
      </c>
      <c r="C3231" s="81">
        <v>0</v>
      </c>
      <c r="D3231" s="82">
        <v>0</v>
      </c>
    </row>
    <row r="3232" spans="1:4">
      <c r="A3232" s="78" t="s">
        <v>3736</v>
      </c>
      <c r="B3232" s="76" t="s">
        <v>3738</v>
      </c>
      <c r="C3232" s="81">
        <v>0</v>
      </c>
      <c r="D3232" s="82">
        <v>0</v>
      </c>
    </row>
    <row r="3233" spans="1:4">
      <c r="A3233" s="78" t="s">
        <v>3739</v>
      </c>
      <c r="B3233" s="76" t="s">
        <v>3740</v>
      </c>
      <c r="C3233" s="81">
        <v>0</v>
      </c>
      <c r="D3233" s="82">
        <v>0</v>
      </c>
    </row>
    <row r="3234" spans="1:4">
      <c r="A3234" s="78" t="s">
        <v>3741</v>
      </c>
      <c r="B3234" s="76" t="s">
        <v>3742</v>
      </c>
      <c r="C3234" s="81">
        <v>0</v>
      </c>
      <c r="D3234" s="82">
        <v>0</v>
      </c>
    </row>
    <row r="3235" spans="1:4">
      <c r="A3235" s="78" t="s">
        <v>3743</v>
      </c>
      <c r="B3235" s="76" t="s">
        <v>3744</v>
      </c>
      <c r="C3235" s="81">
        <v>0</v>
      </c>
      <c r="D3235" s="82">
        <v>0</v>
      </c>
    </row>
    <row r="3236" spans="1:4">
      <c r="A3236" s="78" t="s">
        <v>3745</v>
      </c>
      <c r="B3236" s="76" t="s">
        <v>3746</v>
      </c>
      <c r="C3236" s="81">
        <v>0</v>
      </c>
      <c r="D3236" s="82">
        <v>0</v>
      </c>
    </row>
    <row r="3237" spans="1:4" ht="28.5">
      <c r="A3237" s="78" t="s">
        <v>3747</v>
      </c>
      <c r="B3237" s="76" t="s">
        <v>3748</v>
      </c>
      <c r="C3237" s="81">
        <v>0</v>
      </c>
      <c r="D3237" s="82">
        <v>0</v>
      </c>
    </row>
    <row r="3238" spans="1:4" ht="42.75">
      <c r="A3238" s="78" t="s">
        <v>3749</v>
      </c>
      <c r="B3238" s="76" t="s">
        <v>3750</v>
      </c>
      <c r="C3238" s="81">
        <v>0</v>
      </c>
      <c r="D3238" s="82">
        <v>0</v>
      </c>
    </row>
    <row r="3239" spans="1:4" ht="28.5">
      <c r="A3239" s="78" t="s">
        <v>3751</v>
      </c>
      <c r="B3239" s="76" t="s">
        <v>3752</v>
      </c>
      <c r="C3239" s="81">
        <v>0</v>
      </c>
      <c r="D3239" s="82">
        <v>0</v>
      </c>
    </row>
    <row r="3240" spans="1:4" ht="28.5">
      <c r="A3240" s="78" t="s">
        <v>3753</v>
      </c>
      <c r="B3240" s="76" t="s">
        <v>3754</v>
      </c>
      <c r="C3240" s="81">
        <v>0</v>
      </c>
      <c r="D3240" s="82">
        <v>0</v>
      </c>
    </row>
    <row r="3241" spans="1:4" ht="28.5">
      <c r="A3241" s="78" t="s">
        <v>3755</v>
      </c>
      <c r="B3241" s="76" t="s">
        <v>3756</v>
      </c>
      <c r="C3241" s="81">
        <v>0</v>
      </c>
      <c r="D3241" s="82">
        <v>0</v>
      </c>
    </row>
    <row r="3242" spans="1:4" ht="28.5">
      <c r="A3242" s="78" t="s">
        <v>3757</v>
      </c>
      <c r="B3242" s="76" t="s">
        <v>3758</v>
      </c>
      <c r="C3242" s="81">
        <v>0</v>
      </c>
      <c r="D3242" s="82">
        <v>0</v>
      </c>
    </row>
    <row r="3243" spans="1:4" ht="28.5">
      <c r="A3243" s="78" t="s">
        <v>3759</v>
      </c>
      <c r="B3243" s="76" t="s">
        <v>3760</v>
      </c>
      <c r="C3243" s="81">
        <v>0</v>
      </c>
      <c r="D3243" s="82">
        <v>0</v>
      </c>
    </row>
    <row r="3244" spans="1:4" ht="28.5">
      <c r="A3244" s="78" t="s">
        <v>3761</v>
      </c>
      <c r="B3244" s="76" t="s">
        <v>3762</v>
      </c>
      <c r="C3244" s="81">
        <v>0</v>
      </c>
      <c r="D3244" s="82">
        <v>0</v>
      </c>
    </row>
    <row r="3245" spans="1:4">
      <c r="A3245" s="78" t="s">
        <v>3775</v>
      </c>
      <c r="B3245" s="76" t="s">
        <v>3774</v>
      </c>
      <c r="C3245" s="81">
        <v>0</v>
      </c>
      <c r="D3245" s="82">
        <v>0</v>
      </c>
    </row>
    <row r="3246" spans="1:4" ht="42.75">
      <c r="A3246" s="78" t="s">
        <v>3776</v>
      </c>
      <c r="B3246" s="76" t="s">
        <v>3778</v>
      </c>
      <c r="C3246" s="81">
        <v>0.3826</v>
      </c>
      <c r="D3246" s="81">
        <v>0.3826</v>
      </c>
    </row>
    <row r="3247" spans="1:4" ht="42.75">
      <c r="A3247" s="78" t="s">
        <v>3777</v>
      </c>
      <c r="B3247" s="76" t="s">
        <v>3779</v>
      </c>
      <c r="C3247" s="81">
        <v>0.3826</v>
      </c>
      <c r="D3247" s="81">
        <v>0.3826</v>
      </c>
    </row>
    <row r="3248" spans="1:4">
      <c r="A3248" s="78"/>
      <c r="B3248" s="76"/>
      <c r="C3248" s="81"/>
      <c r="D3248" s="82"/>
    </row>
    <row r="3249" spans="1:4">
      <c r="A3249" s="78"/>
      <c r="B3249" s="76"/>
      <c r="C3249" s="81"/>
      <c r="D3249" s="82"/>
    </row>
    <row r="3250" spans="1:4">
      <c r="A3250" s="78"/>
      <c r="B3250" s="76"/>
      <c r="C3250" s="81"/>
      <c r="D3250" s="82"/>
    </row>
    <row r="3251" spans="1:4">
      <c r="A3251" s="78"/>
      <c r="B3251" s="76"/>
      <c r="C3251" s="81"/>
      <c r="D3251" s="82"/>
    </row>
    <row r="3252" spans="1:4">
      <c r="A3252" s="78"/>
      <c r="B3252" s="76"/>
      <c r="C3252" s="81"/>
      <c r="D3252" s="82"/>
    </row>
    <row r="3253" spans="1:4">
      <c r="A3253" s="78"/>
      <c r="B3253" s="76"/>
      <c r="C3253" s="81"/>
      <c r="D3253" s="82"/>
    </row>
    <row r="3254" spans="1:4">
      <c r="A3254" s="78"/>
      <c r="B3254" s="76"/>
      <c r="C3254" s="81"/>
      <c r="D3254" s="82"/>
    </row>
    <row r="3255" spans="1:4">
      <c r="A3255" s="78"/>
      <c r="B3255" s="76"/>
      <c r="C3255" s="81"/>
      <c r="D3255" s="82"/>
    </row>
    <row r="3256" spans="1:4">
      <c r="A3256" s="78"/>
      <c r="B3256" s="76"/>
      <c r="C3256" s="81"/>
      <c r="D3256" s="82"/>
    </row>
    <row r="3257" spans="1:4">
      <c r="A3257" s="78"/>
      <c r="B3257" s="76"/>
      <c r="C3257" s="81"/>
      <c r="D3257" s="82"/>
    </row>
    <row r="3258" spans="1:4">
      <c r="A3258" s="78"/>
      <c r="B3258" s="76"/>
      <c r="C3258" s="81"/>
      <c r="D3258" s="82"/>
    </row>
    <row r="3259" spans="1:4">
      <c r="A3259" s="78"/>
      <c r="B3259" s="76"/>
      <c r="C3259" s="81"/>
      <c r="D3259" s="82"/>
    </row>
    <row r="3260" spans="1:4">
      <c r="A3260" s="78"/>
      <c r="B3260" s="76"/>
      <c r="C3260" s="81"/>
      <c r="D3260" s="82"/>
    </row>
    <row r="3261" spans="1:4">
      <c r="A3261" s="78"/>
      <c r="B3261" s="76"/>
      <c r="C3261" s="81"/>
      <c r="D3261" s="82"/>
    </row>
    <row r="3262" spans="1:4">
      <c r="A3262" s="78"/>
      <c r="B3262" s="76"/>
      <c r="C3262" s="81"/>
      <c r="D3262" s="82"/>
    </row>
    <row r="3263" spans="1:4">
      <c r="A3263" s="78"/>
      <c r="B3263" s="76"/>
      <c r="C3263" s="81"/>
      <c r="D3263" s="82"/>
    </row>
    <row r="3264" spans="1:4">
      <c r="A3264" s="78"/>
      <c r="B3264" s="76"/>
      <c r="C3264" s="81"/>
      <c r="D3264" s="82"/>
    </row>
    <row r="3265" spans="1:4">
      <c r="A3265" s="12"/>
      <c r="B3265" s="12"/>
      <c r="C3265" s="12"/>
      <c r="D3265" s="12"/>
    </row>
  </sheetData>
  <sheetProtection algorithmName="SHA-512" hashValue="IqLeXBLYVSCaGnOn5U/qAPNf3+UzOiwecrDLnsijb6v/Qog2KzecBPuj/1ly8ovXKTDgLRWlnmJoAQ9gJmy/zQ==" saltValue="t9zL27kmeVDEypMNbpjAfw==" spinCount="100000" sheet="1" objects="1" scenarios="1"/>
  <pageMargins left="0.7" right="0.7" top="0.75" bottom="0.75" header="0.3" footer="0.3"/>
  <pageSetup fitToHeight="0"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dc159a7a3dfbbec492abb7b29f5a112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fd77c951af263b6569219d08aa1c012"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f9f0712-8743-4ce6-902f-714ec2004138}"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O H T V V j 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O H T 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h 0 1 V Y o i k e 4 D g A A A B E A A A A T A B w A R m 9 y b X V s Y X M v U 2 V j d G l v b j E u b S C i G A A o o B Q A A A A A A A A A A A A A A A A A A A A A A A A A A A A r T k 0 u y c z P U w i G 0 I b W A F B L A Q I t A B Q A A g A I A D h 0 1 V Y 4 s h n d p A A A A P Y A A A A S A A A A A A A A A A A A A A A A A A A A A A B D b 2 5 m a W c v U G F j a 2 F n Z S 5 4 b W x Q S w E C L Q A U A A I A C A A 4 d N V W D 8 r p q 6 Q A A A D p A A A A E w A A A A A A A A A A A A A A A A D w A A A A W 0 N v b n R l b n R f V H l w Z X N d L n h t b F B L A Q I t A B Q A A g A I A D h 0 1 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v j / l V g j 7 T 7 m 5 H c v J 2 x s E A A A A A A I A A A A A A B B m A A A A A Q A A I A A A A O M g t V V c T 3 M N h X g 3 b w l p b i 0 + X l o i 9 M z 9 C R W P / B 2 c z v 9 9 A A A A A A 6 A A A A A A g A A I A A A A G A a u u f T F Q 4 h 6 Q + g d F i y y 9 2 c u T i 2 e x p x C 3 U H F v e L e n 3 p U A A A A N N 2 x X Y R I a w Z Y M a H 2 Q p T Y i D H m W p 7 2 9 O s L 7 B / d e p p K F a l E z U h P R E x X I N a N n / f 9 X o P z h q d W u W + Q A 0 A p 2 n o Y 5 2 / q K x L z 6 l i D S p m P 1 0 o n 5 8 h 4 + r g Q A A A A I R d 2 I b 3 H z 7 p r y o 2 B g Q N g T c z J E C k K R N 5 J i n l z 9 k P o / + a 4 F t m m K Q 7 y 9 B o R 7 s 7 q 4 I B F E D H e h s m 1 o l S H x w 3 A D g E Y w w = < / 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
        <AccountId xsi:nil="true"/>
        <AccountType/>
      </UserInfo>
    </SharedWithUsers>
  </documentManagement>
</p:properties>
</file>

<file path=customXml/itemProps1.xml><?xml version="1.0" encoding="utf-8"?>
<ds:datastoreItem xmlns:ds="http://schemas.openxmlformats.org/officeDocument/2006/customXml" ds:itemID="{E65430B4-9B12-4E6C-A6F1-2C2351059232}">
  <ds:schemaRefs>
    <ds:schemaRef ds:uri="http://schemas.microsoft.com/sharepoint/v3/contenttype/forms"/>
  </ds:schemaRefs>
</ds:datastoreItem>
</file>

<file path=customXml/itemProps2.xml><?xml version="1.0" encoding="utf-8"?>
<ds:datastoreItem xmlns:ds="http://schemas.openxmlformats.org/officeDocument/2006/customXml" ds:itemID="{740F6522-6FE4-4DFE-AB89-67C5B75B1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C0DFC0-58A0-47C8-ADC7-07EDA2AA9D7F}">
  <ds:schemaRefs>
    <ds:schemaRef ds:uri="http://schemas.microsoft.com/DataMashup"/>
  </ds:schemaRefs>
</ds:datastoreItem>
</file>

<file path=customXml/itemProps4.xml><?xml version="1.0" encoding="utf-8"?>
<ds:datastoreItem xmlns:ds="http://schemas.openxmlformats.org/officeDocument/2006/customXml" ds:itemID="{0D0CCA4F-39EB-4EC5-827B-52A9E64A5816}">
  <ds:schemaRefs>
    <ds:schemaRef ds:uri="http://www.w3.org/XML/1998/namespace"/>
    <ds:schemaRef ds:uri="http://schemas.microsoft.com/office/infopath/2007/PartnerControls"/>
    <ds:schemaRef ds:uri="http://schemas.openxmlformats.org/package/2006/metadata/core-properties"/>
    <ds:schemaRef ds:uri="http://purl.org/dc/dcmitype/"/>
    <ds:schemaRef ds:uri="5067c814-4b34-462c-a21d-c185ff6548d2"/>
    <ds:schemaRef ds:uri="http://schemas.microsoft.com/office/2006/documentManagement/types"/>
    <ds:schemaRef ds:uri="785685f2-c2e1-4352-89aa-3faca8eaba52"/>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PSD Intro</vt:lpstr>
      <vt:lpstr>Annual Data</vt:lpstr>
      <vt:lpstr>2025 PCL Data</vt:lpstr>
      <vt:lpstr>Annual Totals</vt:lpstr>
      <vt:lpstr>Plain Text PCL</vt:lpstr>
      <vt:lpstr>Unbundled REC Worksheet</vt:lpstr>
      <vt:lpstr>ACS Procurement Calculator</vt:lpstr>
      <vt:lpstr>Loss Factor Calculator</vt:lpstr>
      <vt:lpstr>GHG Emissions Factors</vt:lpstr>
      <vt:lpstr>Attestation</vt:lpstr>
      <vt:lpstr>Background (to be hidden)</vt:lpstr>
      <vt:lpstr>ColumnTitle_2025PCLData</vt:lpstr>
      <vt:lpstr>Default_in_state_loss_factor</vt:lpstr>
      <vt:lpstr>Default_out_of_state_loss_factor</vt:lpstr>
      <vt:lpstr>OpenNameManagerTaskpane</vt:lpstr>
      <vt:lpstr>Attestation!Print_Area</vt:lpstr>
      <vt:lpstr>'PSD Intro'!Print_Area</vt:lpstr>
      <vt:lpstr>'Unbundled REC Worksheet'!Print_Area</vt:lpstr>
      <vt:lpstr>Unspecified_Power_EF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California Energy Commission</dc:creator>
  <cp:keywords/>
  <dc:description/>
  <cp:lastModifiedBy>Kirby Dusel</cp:lastModifiedBy>
  <cp:revision/>
  <dcterms:created xsi:type="dcterms:W3CDTF">2023-06-15T22:01:38Z</dcterms:created>
  <dcterms:modified xsi:type="dcterms:W3CDTF">2026-07-10T18:16:15Z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